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0" activeTab="0"/>
  </bookViews>
  <sheets>
    <sheet name="Взносы на КР" sheetId="1" r:id="rId1"/>
  </sheets>
  <definedNames>
    <definedName name="_xlnm.Print_Area" localSheetId="0">'Взносы на КР'!$A$1:$M$132</definedName>
  </definedNames>
  <calcPr fullCalcOnLoad="1"/>
</workbook>
</file>

<file path=xl/sharedStrings.xml><?xml version="1.0" encoding="utf-8"?>
<sst xmlns="http://schemas.openxmlformats.org/spreadsheetml/2006/main" count="243" uniqueCount="38">
  <si>
    <t>Год</t>
  </si>
  <si>
    <t>Отчетный период</t>
  </si>
  <si>
    <t>Тариф (руб./кв.м)</t>
  </si>
  <si>
    <t>Площадь жилых и нежилых помещений</t>
  </si>
  <si>
    <t>Плановая сумма поступлений за отчетный период</t>
  </si>
  <si>
    <t>Фактическая сумма поступлений за отчетный период</t>
  </si>
  <si>
    <t>Факт/План за отчетный период (%)</t>
  </si>
  <si>
    <t>Сумма поступлений с начала формирования фонда КР (план)</t>
  </si>
  <si>
    <t>Сумма поступлений с начала формирования фонда КР (факт)</t>
  </si>
  <si>
    <t>Специальный счет</t>
  </si>
  <si>
    <t>Остаток на счёте (план)</t>
  </si>
  <si>
    <t>Остаток на счёте (факт)</t>
  </si>
  <si>
    <t/>
  </si>
  <si>
    <t>2 - февраль</t>
  </si>
  <si>
    <t>3 - март</t>
  </si>
  <si>
    <t>4 - апрель</t>
  </si>
  <si>
    <t>5 - май</t>
  </si>
  <si>
    <t>6 - июнь</t>
  </si>
  <si>
    <t>7 - июль</t>
  </si>
  <si>
    <t>8 - август</t>
  </si>
  <si>
    <t>9 - сентябрь</t>
  </si>
  <si>
    <t>10 - октябрь</t>
  </si>
  <si>
    <t>11 - ноябрь</t>
  </si>
  <si>
    <t>12 - декабрь</t>
  </si>
  <si>
    <t>2018 [12]</t>
  </si>
  <si>
    <t>1 - январь</t>
  </si>
  <si>
    <t>2016 [06]</t>
  </si>
  <si>
    <t>2017 [12]</t>
  </si>
  <si>
    <t>-</t>
  </si>
  <si>
    <t>Действующий [40705810900000000002]</t>
  </si>
  <si>
    <t>Итого:</t>
  </si>
  <si>
    <t>2019 [12]</t>
  </si>
  <si>
    <t>Вносы на Кап.Ремонт дом №17 г.Яхрома ул. Бусалова</t>
  </si>
  <si>
    <t>2020 [12]</t>
  </si>
  <si>
    <t>2021 [12]</t>
  </si>
  <si>
    <t>2022 [12]</t>
  </si>
  <si>
    <t>2023 [12]</t>
  </si>
  <si>
    <t>2024 [12]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</si>
</sst>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6" fillId="0" borderId="0" xfId="0" applyFont="1" applyAlignment="1">
      <alignment wrapText="1"/>
    </xf>
    <xf numFmtId="0" fontId="0" fillId="0" borderId="10" xfId="0" applyBorder="1" applyAlignment="1">
      <alignment/>
    </xf>
    <xf numFmtId="0" fontId="26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9" fontId="0" fillId="0" borderId="10" xfId="0" applyNumberFormat="1" applyFont="1" applyBorder="1" applyAlignment="1">
      <alignment horizontal="right" wrapText="1"/>
    </xf>
    <xf numFmtId="0" fontId="26" fillId="0" borderId="10" xfId="0" applyFont="1" applyBorder="1" applyAlignment="1">
      <alignment horizontal="right" wrapText="1"/>
    </xf>
    <xf numFmtId="9" fontId="0" fillId="0" borderId="10" xfId="0" applyNumberFormat="1" applyFont="1" applyBorder="1" applyAlignment="1">
      <alignment wrapText="1"/>
    </xf>
    <xf numFmtId="9" fontId="26" fillId="0" borderId="10" xfId="0" applyNumberFormat="1" applyFont="1" applyBorder="1" applyAlignment="1">
      <alignment wrapText="1"/>
    </xf>
    <xf numFmtId="0" fontId="26" fillId="0" borderId="0" xfId="0" applyFont="1" applyAlignment="1">
      <alignment/>
    </xf>
    <xf numFmtId="2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2" fontId="26" fillId="0" borderId="10" xfId="0" applyNumberFormat="1" applyFont="1" applyBorder="1" applyAlignment="1">
      <alignment/>
    </xf>
    <xf numFmtId="9" fontId="26" fillId="0" borderId="10" xfId="0" applyNumberFormat="1" applyFont="1" applyBorder="1" applyAlignment="1">
      <alignment/>
    </xf>
    <xf numFmtId="2" fontId="0" fillId="33" borderId="0" xfId="0" applyNumberFormat="1" applyFill="1" applyAlignment="1">
      <alignment/>
    </xf>
    <xf numFmtId="2" fontId="0" fillId="34" borderId="0" xfId="0" applyNumberFormat="1" applyFill="1" applyAlignment="1">
      <alignment/>
    </xf>
    <xf numFmtId="2" fontId="0" fillId="0" borderId="0" xfId="0" applyNumberFormat="1" applyAlignment="1">
      <alignment/>
    </xf>
    <xf numFmtId="0" fontId="26" fillId="0" borderId="0" xfId="0" applyFont="1" applyAlignment="1">
      <alignment/>
    </xf>
    <xf numFmtId="0" fontId="35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1"/>
  <sheetViews>
    <sheetView tabSelected="1" view="pageBreakPreview" zoomScaleSheetLayoutView="100" zoomScalePageLayoutView="0" workbookViewId="0" topLeftCell="A108">
      <selection activeCell="L122" sqref="L122"/>
    </sheetView>
  </sheetViews>
  <sheetFormatPr defaultColWidth="8.8515625" defaultRowHeight="15"/>
  <cols>
    <col min="1" max="1" width="12.28125" style="0" customWidth="1"/>
    <col min="2" max="2" width="13.57421875" style="0" customWidth="1"/>
    <col min="3" max="3" width="11.421875" style="0" customWidth="1"/>
    <col min="4" max="4" width="15.140625" style="0" customWidth="1"/>
    <col min="5" max="5" width="15.57421875" style="0" customWidth="1"/>
    <col min="6" max="6" width="10.7109375" style="0" customWidth="1"/>
    <col min="7" max="7" width="9.140625" style="0" customWidth="1"/>
    <col min="8" max="8" width="13.28125" style="0" customWidth="1"/>
    <col min="9" max="9" width="15.00390625" style="0" customWidth="1"/>
    <col min="10" max="10" width="36.421875" style="0" customWidth="1"/>
    <col min="11" max="12" width="14.28125" style="0" customWidth="1"/>
    <col min="13" max="13" width="11.28125" style="0" bestFit="1" customWidth="1"/>
  </cols>
  <sheetData>
    <row r="1" spans="1:5" ht="18.75">
      <c r="A1" s="22" t="s">
        <v>32</v>
      </c>
      <c r="B1" s="22"/>
      <c r="C1" s="22"/>
      <c r="D1" s="22"/>
      <c r="E1" s="22"/>
    </row>
    <row r="3" spans="1:12" ht="90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4" spans="1:13" ht="15">
      <c r="A4" s="21" t="s">
        <v>26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5">
      <c r="A5" s="6">
        <v>2016</v>
      </c>
      <c r="B5" s="6" t="s">
        <v>18</v>
      </c>
      <c r="C5" s="8">
        <v>8.3</v>
      </c>
      <c r="D5" s="3">
        <v>6932.7</v>
      </c>
      <c r="E5" s="3">
        <v>16705.5</v>
      </c>
      <c r="F5" s="2" t="s">
        <v>28</v>
      </c>
      <c r="G5" s="9" t="s">
        <v>28</v>
      </c>
      <c r="H5" s="3">
        <v>16705.5</v>
      </c>
      <c r="I5" s="10" t="s">
        <v>28</v>
      </c>
      <c r="J5" s="6" t="s">
        <v>29</v>
      </c>
      <c r="K5" s="3">
        <v>16705.5</v>
      </c>
      <c r="L5" s="10" t="s">
        <v>28</v>
      </c>
    </row>
    <row r="6" spans="1:12" ht="15">
      <c r="A6" s="6">
        <v>2016</v>
      </c>
      <c r="B6" s="6" t="s">
        <v>19</v>
      </c>
      <c r="C6" s="8">
        <v>8.3</v>
      </c>
      <c r="D6" s="3">
        <v>6932.7</v>
      </c>
      <c r="E6" s="3">
        <f>C6*D6</f>
        <v>57541.41</v>
      </c>
      <c r="F6" s="2">
        <v>13983.13</v>
      </c>
      <c r="G6" s="11">
        <f>F6/E6*100%</f>
        <v>0.2430098602032866</v>
      </c>
      <c r="H6" s="3">
        <f>H5+E6</f>
        <v>74246.91</v>
      </c>
      <c r="I6" s="3">
        <v>13983.13</v>
      </c>
      <c r="J6" s="6" t="s">
        <v>29</v>
      </c>
      <c r="K6" s="3">
        <v>74246.91</v>
      </c>
      <c r="L6" s="10" t="s">
        <v>28</v>
      </c>
    </row>
    <row r="7" spans="1:12" ht="15">
      <c r="A7" s="6">
        <v>2016</v>
      </c>
      <c r="B7" s="6" t="s">
        <v>20</v>
      </c>
      <c r="C7" s="8">
        <v>8.3</v>
      </c>
      <c r="D7" s="3">
        <v>6932.7</v>
      </c>
      <c r="E7" s="3">
        <f>C7*D7</f>
        <v>57541.41</v>
      </c>
      <c r="F7" s="3">
        <v>55075.39</v>
      </c>
      <c r="G7" s="11">
        <f>F7/E7*100%</f>
        <v>0.9571435597424532</v>
      </c>
      <c r="H7" s="3">
        <f>H6+E7</f>
        <v>131788.32</v>
      </c>
      <c r="I7" s="3">
        <f>F6+F7</f>
        <v>69058.52</v>
      </c>
      <c r="J7" s="6" t="s">
        <v>29</v>
      </c>
      <c r="K7" s="3">
        <v>131788.32</v>
      </c>
      <c r="L7" s="3">
        <v>55450.24</v>
      </c>
    </row>
    <row r="8" spans="1:12" ht="15">
      <c r="A8" s="6">
        <v>2016</v>
      </c>
      <c r="B8" s="6" t="s">
        <v>21</v>
      </c>
      <c r="C8" s="8">
        <v>8.3</v>
      </c>
      <c r="D8" s="3">
        <v>6932.7</v>
      </c>
      <c r="E8" s="3">
        <f>C8*D8</f>
        <v>57541.41</v>
      </c>
      <c r="F8" s="3">
        <v>58074.63</v>
      </c>
      <c r="G8" s="11">
        <f>F8/E8*100%</f>
        <v>1.0092667176560324</v>
      </c>
      <c r="H8" s="3">
        <f>H7+E8</f>
        <v>189329.73</v>
      </c>
      <c r="I8" s="3">
        <f>I7+F8</f>
        <v>127133.15</v>
      </c>
      <c r="J8" s="6" t="s">
        <v>29</v>
      </c>
      <c r="K8" s="3">
        <v>189329.73</v>
      </c>
      <c r="L8" s="3">
        <v>111475.54</v>
      </c>
    </row>
    <row r="9" spans="1:12" ht="15">
      <c r="A9" s="6">
        <v>2016</v>
      </c>
      <c r="B9" s="6" t="s">
        <v>22</v>
      </c>
      <c r="C9" s="8">
        <v>8.3</v>
      </c>
      <c r="D9" s="3">
        <v>6932.7</v>
      </c>
      <c r="E9" s="3">
        <f>C9*D9</f>
        <v>57541.41</v>
      </c>
      <c r="F9" s="3">
        <v>56155.92</v>
      </c>
      <c r="G9" s="11">
        <f>F9/E9*100%</f>
        <v>0.9759218621858587</v>
      </c>
      <c r="H9" s="3">
        <f>H8+E9</f>
        <v>246871.14</v>
      </c>
      <c r="I9" s="3">
        <f>I8+F9</f>
        <v>183289.07</v>
      </c>
      <c r="J9" s="6" t="s">
        <v>29</v>
      </c>
      <c r="K9" s="3">
        <v>246871.14</v>
      </c>
      <c r="L9" s="3">
        <v>172229.72</v>
      </c>
    </row>
    <row r="10" spans="1:12" ht="13.5" customHeight="1">
      <c r="A10" s="6">
        <v>2016</v>
      </c>
      <c r="B10" s="6" t="s">
        <v>23</v>
      </c>
      <c r="C10" s="8">
        <v>8.3</v>
      </c>
      <c r="D10" s="3">
        <v>6932.7</v>
      </c>
      <c r="E10" s="3">
        <f>C10*D10</f>
        <v>57541.41</v>
      </c>
      <c r="F10" s="3">
        <v>68285.94</v>
      </c>
      <c r="G10" s="11">
        <f>F10/E10*100%</f>
        <v>1.186726915450977</v>
      </c>
      <c r="H10" s="3">
        <f>H9+E10</f>
        <v>304412.55000000005</v>
      </c>
      <c r="I10" s="3">
        <f>I9+F10</f>
        <v>251575.01</v>
      </c>
      <c r="J10" s="6" t="s">
        <v>29</v>
      </c>
      <c r="K10" s="3">
        <v>304412.55</v>
      </c>
      <c r="L10" s="3">
        <v>246339.9</v>
      </c>
    </row>
    <row r="11" spans="1:12" s="13" customFormat="1" ht="15">
      <c r="A11" s="4"/>
      <c r="B11" s="4" t="s">
        <v>30</v>
      </c>
      <c r="C11" s="4"/>
      <c r="D11" s="4"/>
      <c r="E11" s="4">
        <f>SUM(E5:E10)</f>
        <v>304412.55000000005</v>
      </c>
      <c r="F11" s="4">
        <f>SUM(F6:F10)</f>
        <v>251575.01</v>
      </c>
      <c r="G11" s="12">
        <f>F11/E11*100%</f>
        <v>0.8264278525967473</v>
      </c>
      <c r="H11" s="4"/>
      <c r="I11" s="4"/>
      <c r="J11" s="6"/>
      <c r="K11" s="4"/>
      <c r="L11" s="4"/>
    </row>
    <row r="12" spans="1:12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3" ht="15">
      <c r="A13" s="21" t="s">
        <v>27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ht="15">
      <c r="A14" s="6">
        <v>2017</v>
      </c>
      <c r="B14" s="6" t="s">
        <v>25</v>
      </c>
      <c r="C14" s="6">
        <v>8.65</v>
      </c>
      <c r="D14" s="3">
        <v>6932.7</v>
      </c>
      <c r="E14" s="14">
        <f>C14*D14</f>
        <v>59967.855</v>
      </c>
      <c r="F14" s="6">
        <v>46472.44</v>
      </c>
      <c r="G14" s="15">
        <f>F14/E14*100%</f>
        <v>0.7749558492629093</v>
      </c>
      <c r="H14" s="6">
        <v>364380.41</v>
      </c>
      <c r="I14" s="6">
        <v>298047.45</v>
      </c>
      <c r="J14" s="6" t="s">
        <v>29</v>
      </c>
      <c r="K14" s="6">
        <v>364380.41</v>
      </c>
      <c r="L14" s="6">
        <v>279029.02</v>
      </c>
    </row>
    <row r="15" spans="1:12" ht="15">
      <c r="A15" s="6">
        <v>2017</v>
      </c>
      <c r="B15" s="6" t="s">
        <v>13</v>
      </c>
      <c r="C15" s="6">
        <v>8.65</v>
      </c>
      <c r="D15" s="3">
        <v>6932.7</v>
      </c>
      <c r="E15" s="14">
        <f aca="true" t="shared" si="0" ref="E15:E25">C15*D15</f>
        <v>59967.855</v>
      </c>
      <c r="F15" s="6">
        <v>53693.5</v>
      </c>
      <c r="G15" s="15">
        <f aca="true" t="shared" si="1" ref="G15:G26">F15/E15*100%</f>
        <v>0.8953713618737905</v>
      </c>
      <c r="H15" s="14">
        <f>H14+E14</f>
        <v>424348.26499999996</v>
      </c>
      <c r="I15" s="6">
        <f aca="true" t="shared" si="2" ref="I15:I25">I14+F15</f>
        <v>351740.95</v>
      </c>
      <c r="J15" s="6" t="s">
        <v>29</v>
      </c>
      <c r="K15" s="14">
        <f>K14+E14</f>
        <v>424348.26499999996</v>
      </c>
      <c r="L15" s="6">
        <v>341921.18</v>
      </c>
    </row>
    <row r="16" spans="1:12" ht="15">
      <c r="A16" s="6">
        <v>2017</v>
      </c>
      <c r="B16" s="6" t="s">
        <v>14</v>
      </c>
      <c r="C16" s="6">
        <v>8.65</v>
      </c>
      <c r="D16" s="3">
        <v>6932.7</v>
      </c>
      <c r="E16" s="14">
        <f t="shared" si="0"/>
        <v>59967.855</v>
      </c>
      <c r="F16" s="6">
        <v>61468.71</v>
      </c>
      <c r="G16" s="15">
        <f t="shared" si="1"/>
        <v>1.0250276585680778</v>
      </c>
      <c r="H16" s="14">
        <f aca="true" t="shared" si="3" ref="H16:H25">H15+E15</f>
        <v>484316.11999999994</v>
      </c>
      <c r="I16" s="6">
        <f t="shared" si="2"/>
        <v>413209.66000000003</v>
      </c>
      <c r="J16" s="6" t="s">
        <v>29</v>
      </c>
      <c r="K16" s="14">
        <f>K15+E14</f>
        <v>484316.11999999994</v>
      </c>
      <c r="L16" s="6">
        <v>382287.95</v>
      </c>
    </row>
    <row r="17" spans="1:12" ht="15">
      <c r="A17" s="6">
        <v>2017</v>
      </c>
      <c r="B17" s="6" t="s">
        <v>15</v>
      </c>
      <c r="C17" s="6">
        <v>8.65</v>
      </c>
      <c r="D17" s="3">
        <v>6932.7</v>
      </c>
      <c r="E17" s="14">
        <f t="shared" si="0"/>
        <v>59967.855</v>
      </c>
      <c r="F17" s="6">
        <v>55108.76</v>
      </c>
      <c r="G17" s="15">
        <f t="shared" si="1"/>
        <v>0.9189716724068253</v>
      </c>
      <c r="H17" s="14">
        <f t="shared" si="3"/>
        <v>544283.975</v>
      </c>
      <c r="I17" s="6">
        <f t="shared" si="2"/>
        <v>468318.42000000004</v>
      </c>
      <c r="J17" s="6" t="s">
        <v>29</v>
      </c>
      <c r="K17" s="14">
        <f>K16+E14</f>
        <v>544283.975</v>
      </c>
      <c r="L17" s="6">
        <v>451640.28</v>
      </c>
    </row>
    <row r="18" spans="1:12" ht="15">
      <c r="A18" s="6">
        <v>2017</v>
      </c>
      <c r="B18" s="6" t="s">
        <v>16</v>
      </c>
      <c r="C18" s="6">
        <v>8.65</v>
      </c>
      <c r="D18" s="3">
        <v>6932.7</v>
      </c>
      <c r="E18" s="14">
        <f t="shared" si="0"/>
        <v>59967.855</v>
      </c>
      <c r="F18" s="6">
        <v>61601.74</v>
      </c>
      <c r="G18" s="15">
        <f t="shared" si="1"/>
        <v>1.0272460137185162</v>
      </c>
      <c r="H18" s="14">
        <f t="shared" si="3"/>
        <v>604251.83</v>
      </c>
      <c r="I18" s="6">
        <f t="shared" si="2"/>
        <v>529920.16</v>
      </c>
      <c r="J18" s="6" t="s">
        <v>29</v>
      </c>
      <c r="K18" s="14">
        <f>K17+E14</f>
        <v>604251.83</v>
      </c>
      <c r="L18" s="6">
        <v>505505.85</v>
      </c>
    </row>
    <row r="19" spans="1:12" ht="15">
      <c r="A19" s="6">
        <v>2017</v>
      </c>
      <c r="B19" s="6" t="s">
        <v>17</v>
      </c>
      <c r="C19" s="6">
        <v>8.65</v>
      </c>
      <c r="D19" s="3">
        <v>6932.7</v>
      </c>
      <c r="E19" s="14">
        <f t="shared" si="0"/>
        <v>59967.855</v>
      </c>
      <c r="F19" s="6">
        <v>53885.44</v>
      </c>
      <c r="G19" s="15">
        <f t="shared" si="1"/>
        <v>0.8985720766567356</v>
      </c>
      <c r="H19" s="14">
        <f t="shared" si="3"/>
        <v>664219.6849999999</v>
      </c>
      <c r="I19" s="6">
        <f t="shared" si="2"/>
        <v>583805.6000000001</v>
      </c>
      <c r="J19" s="6" t="s">
        <v>29</v>
      </c>
      <c r="K19" s="14">
        <f>K18+E14</f>
        <v>664219.6849999999</v>
      </c>
      <c r="L19" s="6">
        <v>560643.21</v>
      </c>
    </row>
    <row r="20" spans="1:12" ht="15">
      <c r="A20" s="6">
        <v>2017</v>
      </c>
      <c r="B20" s="6" t="s">
        <v>18</v>
      </c>
      <c r="C20" s="6">
        <v>8.65</v>
      </c>
      <c r="D20" s="3">
        <v>6932.7</v>
      </c>
      <c r="E20" s="14">
        <f t="shared" si="0"/>
        <v>59967.855</v>
      </c>
      <c r="F20" s="6">
        <v>61065.86</v>
      </c>
      <c r="G20" s="15">
        <f t="shared" si="1"/>
        <v>1.0183098928584322</v>
      </c>
      <c r="H20" s="14">
        <f t="shared" si="3"/>
        <v>724187.5399999999</v>
      </c>
      <c r="I20" s="6">
        <f t="shared" si="2"/>
        <v>644871.4600000001</v>
      </c>
      <c r="J20" s="6" t="s">
        <v>29</v>
      </c>
      <c r="K20" s="14">
        <f>K19+E14</f>
        <v>724187.5399999999</v>
      </c>
      <c r="L20" s="6">
        <v>615246.44</v>
      </c>
    </row>
    <row r="21" spans="1:12" ht="15">
      <c r="A21" s="6">
        <v>2017</v>
      </c>
      <c r="B21" s="6" t="s">
        <v>19</v>
      </c>
      <c r="C21" s="6">
        <v>8.65</v>
      </c>
      <c r="D21" s="3">
        <v>6932.7</v>
      </c>
      <c r="E21" s="14">
        <f t="shared" si="0"/>
        <v>59967.855</v>
      </c>
      <c r="F21" s="6">
        <v>53649.26</v>
      </c>
      <c r="G21" s="15">
        <f t="shared" si="1"/>
        <v>0.8946336333023751</v>
      </c>
      <c r="H21" s="14">
        <f t="shared" si="3"/>
        <v>784155.3949999999</v>
      </c>
      <c r="I21" s="6">
        <f t="shared" si="2"/>
        <v>698520.7200000001</v>
      </c>
      <c r="J21" s="6" t="s">
        <v>29</v>
      </c>
      <c r="K21" s="14">
        <f>K20+E14</f>
        <v>784155.3949999999</v>
      </c>
      <c r="L21" s="6">
        <v>679998.5</v>
      </c>
    </row>
    <row r="22" spans="1:12" ht="15">
      <c r="A22" s="6">
        <v>2017</v>
      </c>
      <c r="B22" s="6" t="s">
        <v>20</v>
      </c>
      <c r="C22" s="6">
        <v>8.65</v>
      </c>
      <c r="D22" s="3">
        <v>6932.7</v>
      </c>
      <c r="E22" s="14">
        <f t="shared" si="0"/>
        <v>59967.855</v>
      </c>
      <c r="F22" s="6">
        <v>67359.71</v>
      </c>
      <c r="G22" s="15">
        <f t="shared" si="1"/>
        <v>1.1232636218187229</v>
      </c>
      <c r="H22" s="14">
        <f t="shared" si="3"/>
        <v>844123.2499999999</v>
      </c>
      <c r="I22" s="6">
        <f t="shared" si="2"/>
        <v>765880.43</v>
      </c>
      <c r="J22" s="6" t="s">
        <v>29</v>
      </c>
      <c r="K22" s="14">
        <f>K21+E14</f>
        <v>844123.2499999999</v>
      </c>
      <c r="L22" s="6">
        <v>715708.06</v>
      </c>
    </row>
    <row r="23" spans="1:12" ht="15">
      <c r="A23" s="6">
        <v>2017</v>
      </c>
      <c r="B23" s="6" t="s">
        <v>21</v>
      </c>
      <c r="C23" s="6">
        <v>8.65</v>
      </c>
      <c r="D23" s="3">
        <v>6932.7</v>
      </c>
      <c r="E23" s="14">
        <f t="shared" si="0"/>
        <v>59967.855</v>
      </c>
      <c r="F23" s="6">
        <v>61737.93</v>
      </c>
      <c r="G23" s="15">
        <f t="shared" si="1"/>
        <v>1.029517063766913</v>
      </c>
      <c r="H23" s="14">
        <f t="shared" si="3"/>
        <v>904091.1049999999</v>
      </c>
      <c r="I23" s="6">
        <f t="shared" si="2"/>
        <v>827618.3600000001</v>
      </c>
      <c r="J23" s="6" t="s">
        <v>29</v>
      </c>
      <c r="K23" s="14">
        <f>K22+E14</f>
        <v>904091.1049999999</v>
      </c>
      <c r="L23" s="6">
        <v>799268</v>
      </c>
    </row>
    <row r="24" spans="1:12" ht="15">
      <c r="A24" s="6">
        <v>2017</v>
      </c>
      <c r="B24" s="6" t="s">
        <v>22</v>
      </c>
      <c r="C24" s="6">
        <v>8.65</v>
      </c>
      <c r="D24" s="3">
        <v>6932.7</v>
      </c>
      <c r="E24" s="14">
        <f t="shared" si="0"/>
        <v>59967.855</v>
      </c>
      <c r="F24" s="6">
        <v>61529.13</v>
      </c>
      <c r="G24" s="15">
        <f t="shared" si="1"/>
        <v>1.02603519835752</v>
      </c>
      <c r="H24" s="14">
        <f t="shared" si="3"/>
        <v>964058.9599999998</v>
      </c>
      <c r="I24" s="6">
        <f t="shared" si="2"/>
        <v>889147.4900000001</v>
      </c>
      <c r="J24" s="6" t="s">
        <v>29</v>
      </c>
      <c r="K24" s="14">
        <f>K23+E14</f>
        <v>964058.9599999998</v>
      </c>
      <c r="L24" s="6">
        <v>863514.59</v>
      </c>
    </row>
    <row r="25" spans="1:12" ht="15">
      <c r="A25" s="6">
        <v>2017</v>
      </c>
      <c r="B25" s="6" t="s">
        <v>23</v>
      </c>
      <c r="C25" s="6">
        <v>8.65</v>
      </c>
      <c r="D25" s="3">
        <v>6932.7</v>
      </c>
      <c r="E25" s="14">
        <f t="shared" si="0"/>
        <v>59967.855</v>
      </c>
      <c r="F25" s="6">
        <v>63145.6</v>
      </c>
      <c r="G25" s="15">
        <f t="shared" si="1"/>
        <v>1.0529908064912443</v>
      </c>
      <c r="H25" s="14">
        <f t="shared" si="3"/>
        <v>1024026.8149999998</v>
      </c>
      <c r="I25" s="6">
        <f t="shared" si="2"/>
        <v>952293.0900000001</v>
      </c>
      <c r="J25" s="6" t="s">
        <v>29</v>
      </c>
      <c r="K25" s="14">
        <f>K24+E14</f>
        <v>1024026.8149999998</v>
      </c>
      <c r="L25" s="6">
        <v>947732.4</v>
      </c>
    </row>
    <row r="26" spans="1:12" s="13" customFormat="1" ht="15">
      <c r="A26" s="7"/>
      <c r="B26" s="7" t="s">
        <v>30</v>
      </c>
      <c r="C26" s="7"/>
      <c r="D26" s="4"/>
      <c r="E26" s="16">
        <f>SUM(E14:E25)</f>
        <v>719614.2599999999</v>
      </c>
      <c r="F26" s="7">
        <f>SUM(F14:F25)</f>
        <v>700718.0800000001</v>
      </c>
      <c r="G26" s="17">
        <f t="shared" si="1"/>
        <v>0.9737412374235055</v>
      </c>
      <c r="H26" s="14"/>
      <c r="I26" s="7"/>
      <c r="J26" s="7"/>
      <c r="K26" s="7"/>
      <c r="L26" s="7"/>
    </row>
    <row r="27" ht="15">
      <c r="D27" s="5"/>
    </row>
    <row r="28" spans="1:13" ht="15">
      <c r="A28" s="21" t="s">
        <v>24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15">
      <c r="A29" s="6">
        <v>2018</v>
      </c>
      <c r="B29" s="6" t="s">
        <v>25</v>
      </c>
      <c r="C29" s="6">
        <v>9.07</v>
      </c>
      <c r="D29" s="3">
        <v>6932.7</v>
      </c>
      <c r="E29" s="14">
        <f>C29*D29</f>
        <v>62879.589</v>
      </c>
      <c r="F29" s="6">
        <v>51416.6</v>
      </c>
      <c r="G29" s="15">
        <f>F29/E29*100%</f>
        <v>0.8176993650515114</v>
      </c>
      <c r="H29" s="6">
        <v>1086906.4</v>
      </c>
      <c r="I29" s="6">
        <v>1003709.69</v>
      </c>
      <c r="J29" s="6" t="s">
        <v>29</v>
      </c>
      <c r="K29" s="14">
        <f>K25+E29</f>
        <v>1086906.4039999999</v>
      </c>
      <c r="L29" s="6">
        <v>980483.54</v>
      </c>
    </row>
    <row r="30" spans="1:12" ht="15">
      <c r="A30" s="6">
        <v>2018</v>
      </c>
      <c r="B30" s="6" t="s">
        <v>13</v>
      </c>
      <c r="C30" s="6">
        <v>9.07</v>
      </c>
      <c r="D30" s="3">
        <v>6932.7</v>
      </c>
      <c r="E30" s="14">
        <f aca="true" t="shared" si="4" ref="E30:E36">C30*D30</f>
        <v>62879.589</v>
      </c>
      <c r="F30" s="6">
        <v>50310.98</v>
      </c>
      <c r="G30" s="15">
        <f aca="true" t="shared" si="5" ref="G30:G41">F30/E30*100%</f>
        <v>0.8001162348564334</v>
      </c>
      <c r="H30" s="14">
        <f>H29+E29</f>
        <v>1149785.9889999998</v>
      </c>
      <c r="I30" s="6">
        <f aca="true" t="shared" si="6" ref="I30:I40">I29+F30</f>
        <v>1054020.67</v>
      </c>
      <c r="J30" s="6" t="s">
        <v>29</v>
      </c>
      <c r="K30" s="14">
        <f>K29+E29</f>
        <v>1149785.9929999998</v>
      </c>
      <c r="L30" s="6">
        <v>1034779.6</v>
      </c>
    </row>
    <row r="31" spans="1:12" ht="15">
      <c r="A31" s="6">
        <v>2018</v>
      </c>
      <c r="B31" s="6" t="s">
        <v>14</v>
      </c>
      <c r="C31" s="6">
        <v>9.07</v>
      </c>
      <c r="D31" s="3">
        <v>6932.7</v>
      </c>
      <c r="E31" s="14">
        <f t="shared" si="4"/>
        <v>62879.589</v>
      </c>
      <c r="F31" s="6">
        <v>70208.76</v>
      </c>
      <c r="G31" s="15">
        <f t="shared" si="5"/>
        <v>1.1165588248358302</v>
      </c>
      <c r="H31" s="14">
        <f aca="true" t="shared" si="7" ref="H31:H40">H30+E30</f>
        <v>1212665.5779999997</v>
      </c>
      <c r="I31" s="6">
        <f t="shared" si="6"/>
        <v>1124229.43</v>
      </c>
      <c r="J31" s="6" t="s">
        <v>29</v>
      </c>
      <c r="K31" s="14">
        <f>K30+E29</f>
        <v>1212665.5819999997</v>
      </c>
      <c r="L31" s="6">
        <v>1093295.17</v>
      </c>
    </row>
    <row r="32" spans="1:12" ht="15">
      <c r="A32" s="6">
        <v>2018</v>
      </c>
      <c r="B32" s="6" t="s">
        <v>15</v>
      </c>
      <c r="C32" s="6">
        <v>9.07</v>
      </c>
      <c r="D32" s="3">
        <v>6932.7</v>
      </c>
      <c r="E32" s="14">
        <f t="shared" si="4"/>
        <v>62879.589</v>
      </c>
      <c r="F32" s="6">
        <v>48117.63</v>
      </c>
      <c r="G32" s="15">
        <f t="shared" si="5"/>
        <v>0.7652344865040387</v>
      </c>
      <c r="H32" s="14">
        <f t="shared" si="7"/>
        <v>1275545.1669999997</v>
      </c>
      <c r="I32" s="6">
        <f t="shared" si="6"/>
        <v>1172347.0599999998</v>
      </c>
      <c r="J32" s="6" t="s">
        <v>29</v>
      </c>
      <c r="K32" s="14">
        <f>K31+E29</f>
        <v>1275545.1709999996</v>
      </c>
      <c r="L32" s="6">
        <v>1151466.68</v>
      </c>
    </row>
    <row r="33" spans="1:12" ht="15">
      <c r="A33" s="6">
        <v>2018</v>
      </c>
      <c r="B33" s="6" t="s">
        <v>16</v>
      </c>
      <c r="C33" s="6">
        <v>9.07</v>
      </c>
      <c r="D33" s="3">
        <v>6932.7</v>
      </c>
      <c r="E33" s="14">
        <f t="shared" si="4"/>
        <v>62879.589</v>
      </c>
      <c r="F33" s="6">
        <v>64270.21</v>
      </c>
      <c r="G33" s="15">
        <f t="shared" si="5"/>
        <v>1.0221156184719973</v>
      </c>
      <c r="H33" s="14">
        <f t="shared" si="7"/>
        <v>1338424.7559999996</v>
      </c>
      <c r="I33" s="6">
        <f t="shared" si="6"/>
        <v>1236617.2699999998</v>
      </c>
      <c r="J33" s="6" t="s">
        <v>29</v>
      </c>
      <c r="K33" s="14">
        <f>K32+E29</f>
        <v>1338424.7599999995</v>
      </c>
      <c r="L33" s="6">
        <v>1206146.01</v>
      </c>
    </row>
    <row r="34" spans="1:12" ht="15">
      <c r="A34" s="6">
        <v>2018</v>
      </c>
      <c r="B34" s="6" t="s">
        <v>17</v>
      </c>
      <c r="C34" s="6">
        <v>9.07</v>
      </c>
      <c r="D34" s="3">
        <v>6932.7</v>
      </c>
      <c r="E34" s="14">
        <f t="shared" si="4"/>
        <v>62879.589</v>
      </c>
      <c r="F34" s="6">
        <v>60329.33</v>
      </c>
      <c r="G34" s="15">
        <f t="shared" si="5"/>
        <v>0.9594421808323207</v>
      </c>
      <c r="H34" s="14">
        <f t="shared" si="7"/>
        <v>1401304.3449999995</v>
      </c>
      <c r="I34" s="6">
        <f t="shared" si="6"/>
        <v>1296946.5999999999</v>
      </c>
      <c r="J34" s="6" t="s">
        <v>29</v>
      </c>
      <c r="K34" s="14">
        <f>K33+E29</f>
        <v>1401304.3489999995</v>
      </c>
      <c r="L34" s="6">
        <v>1271361.98</v>
      </c>
    </row>
    <row r="35" spans="1:12" ht="15">
      <c r="A35" s="6">
        <v>2018</v>
      </c>
      <c r="B35" s="6" t="s">
        <v>18</v>
      </c>
      <c r="C35" s="6">
        <v>9.07</v>
      </c>
      <c r="D35" s="3">
        <v>6932.7</v>
      </c>
      <c r="E35" s="14">
        <f t="shared" si="4"/>
        <v>62879.589</v>
      </c>
      <c r="F35" s="6">
        <v>60273.15</v>
      </c>
      <c r="G35" s="15">
        <f t="shared" si="5"/>
        <v>0.9585487271553255</v>
      </c>
      <c r="H35" s="14">
        <f t="shared" si="7"/>
        <v>1464183.9339999994</v>
      </c>
      <c r="I35" s="6">
        <f t="shared" si="6"/>
        <v>1357219.7499999998</v>
      </c>
      <c r="J35" s="6" t="s">
        <v>29</v>
      </c>
      <c r="K35" s="14">
        <f>K34+E29</f>
        <v>1464183.9379999994</v>
      </c>
      <c r="L35" s="6">
        <v>1336413.88</v>
      </c>
    </row>
    <row r="36" spans="1:12" ht="15">
      <c r="A36" s="6">
        <v>2018</v>
      </c>
      <c r="B36" s="6" t="s">
        <v>19</v>
      </c>
      <c r="C36" s="6">
        <v>9.07</v>
      </c>
      <c r="D36" s="3">
        <v>6932.7</v>
      </c>
      <c r="E36" s="14">
        <f t="shared" si="4"/>
        <v>62879.589</v>
      </c>
      <c r="F36" s="6">
        <v>76359.94</v>
      </c>
      <c r="G36" s="15">
        <f t="shared" si="5"/>
        <v>1.2143835736585364</v>
      </c>
      <c r="H36" s="14">
        <f t="shared" si="7"/>
        <v>1527063.5229999993</v>
      </c>
      <c r="I36" s="6">
        <f t="shared" si="6"/>
        <v>1433579.6899999997</v>
      </c>
      <c r="J36" s="6" t="s">
        <v>29</v>
      </c>
      <c r="K36" s="14">
        <f>K35+E30</f>
        <v>1527063.5269999993</v>
      </c>
      <c r="L36" s="6">
        <v>1402014.63</v>
      </c>
    </row>
    <row r="37" spans="1:12" ht="15">
      <c r="A37" s="6">
        <v>2018</v>
      </c>
      <c r="B37" s="6" t="s">
        <v>20</v>
      </c>
      <c r="C37" s="6">
        <v>9.07</v>
      </c>
      <c r="D37" s="3">
        <v>6932.7</v>
      </c>
      <c r="E37" s="14">
        <f>C37*D37</f>
        <v>62879.589</v>
      </c>
      <c r="F37" s="6">
        <v>67232.37</v>
      </c>
      <c r="G37" s="15">
        <f t="shared" si="5"/>
        <v>1.0692240688786945</v>
      </c>
      <c r="H37" s="14">
        <f t="shared" si="7"/>
        <v>1589943.1119999993</v>
      </c>
      <c r="I37" s="6">
        <f t="shared" si="6"/>
        <v>1500812.0599999996</v>
      </c>
      <c r="J37" s="6" t="s">
        <v>29</v>
      </c>
      <c r="K37" s="14">
        <f>K36+E31</f>
        <v>1589943.1159999992</v>
      </c>
      <c r="L37" s="6">
        <v>1479612.12</v>
      </c>
    </row>
    <row r="38" spans="1:12" ht="15">
      <c r="A38" s="6">
        <v>2018</v>
      </c>
      <c r="B38" s="6" t="s">
        <v>21</v>
      </c>
      <c r="C38" s="6">
        <v>9.07</v>
      </c>
      <c r="D38" s="3">
        <v>6932.7</v>
      </c>
      <c r="E38" s="14">
        <f>C38*D38</f>
        <v>62879.589</v>
      </c>
      <c r="F38" s="6">
        <v>61015.09</v>
      </c>
      <c r="G38" s="15">
        <f t="shared" si="5"/>
        <v>0.9703481045335712</v>
      </c>
      <c r="H38" s="14">
        <f t="shared" si="7"/>
        <v>1652822.7009999992</v>
      </c>
      <c r="I38" s="6">
        <f t="shared" si="6"/>
        <v>1561827.1499999997</v>
      </c>
      <c r="J38" s="6" t="s">
        <v>29</v>
      </c>
      <c r="K38" s="14">
        <f>K37+E32</f>
        <v>1652822.7049999991</v>
      </c>
      <c r="L38" s="14">
        <v>1547205.4</v>
      </c>
    </row>
    <row r="39" spans="1:12" ht="15">
      <c r="A39" s="6">
        <v>2018</v>
      </c>
      <c r="B39" s="6" t="s">
        <v>22</v>
      </c>
      <c r="C39" s="6">
        <v>9.07</v>
      </c>
      <c r="D39" s="3">
        <v>6932.7</v>
      </c>
      <c r="E39" s="14">
        <f>C39*D39</f>
        <v>62879.589</v>
      </c>
      <c r="F39" s="6">
        <v>68885.98</v>
      </c>
      <c r="G39" s="15">
        <f t="shared" si="5"/>
        <v>1.0955221097262577</v>
      </c>
      <c r="H39" s="14">
        <f t="shared" si="7"/>
        <v>1715702.289999999</v>
      </c>
      <c r="I39" s="6">
        <f t="shared" si="6"/>
        <v>1630713.1299999997</v>
      </c>
      <c r="J39" s="6" t="s">
        <v>29</v>
      </c>
      <c r="K39" s="14">
        <f>K38+E33</f>
        <v>1715702.293999999</v>
      </c>
      <c r="L39" s="6">
        <v>1607509.68</v>
      </c>
    </row>
    <row r="40" spans="1:12" ht="15">
      <c r="A40" s="6">
        <v>2018</v>
      </c>
      <c r="B40" s="6" t="s">
        <v>23</v>
      </c>
      <c r="C40" s="6">
        <v>9.07</v>
      </c>
      <c r="D40" s="3">
        <v>6932.7</v>
      </c>
      <c r="E40" s="14">
        <f>C40*D40</f>
        <v>62879.589</v>
      </c>
      <c r="F40" s="6">
        <v>76427.59</v>
      </c>
      <c r="G40" s="15">
        <f t="shared" si="5"/>
        <v>1.2154594394693006</v>
      </c>
      <c r="H40" s="14">
        <f t="shared" si="7"/>
        <v>1778581.878999999</v>
      </c>
      <c r="I40" s="6">
        <f t="shared" si="6"/>
        <v>1707140.7199999997</v>
      </c>
      <c r="J40" s="6" t="s">
        <v>29</v>
      </c>
      <c r="K40" s="14">
        <f>K39+E34</f>
        <v>1778581.882999999</v>
      </c>
      <c r="L40" s="6">
        <v>1705996.99</v>
      </c>
    </row>
    <row r="41" spans="1:12" s="13" customFormat="1" ht="15">
      <c r="A41" s="7"/>
      <c r="B41" s="7" t="s">
        <v>30</v>
      </c>
      <c r="C41" s="7"/>
      <c r="D41" s="7"/>
      <c r="E41" s="16">
        <f>SUM(E29:E40)</f>
        <v>754555.0680000001</v>
      </c>
      <c r="F41" s="7">
        <f>SUM(F29:F40)</f>
        <v>754847.6299999999</v>
      </c>
      <c r="G41" s="17">
        <f t="shared" si="5"/>
        <v>1.0003877278311513</v>
      </c>
      <c r="H41" s="7"/>
      <c r="I41" s="7"/>
      <c r="J41" s="7"/>
      <c r="K41" s="7"/>
      <c r="L41" s="7"/>
    </row>
    <row r="43" spans="1:12" ht="15">
      <c r="A43" s="21" t="s">
        <v>31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1:13" ht="15">
      <c r="A44" s="6">
        <v>2019</v>
      </c>
      <c r="B44" s="6" t="s">
        <v>25</v>
      </c>
      <c r="C44" s="6">
        <v>9.07</v>
      </c>
      <c r="D44" s="3">
        <v>6932.7</v>
      </c>
      <c r="E44" s="14">
        <f>C44*D44</f>
        <v>62879.589</v>
      </c>
      <c r="F44" s="6">
        <v>47466.19</v>
      </c>
      <c r="G44" s="15">
        <f>F44/E44*100%</f>
        <v>0.7548743678970294</v>
      </c>
      <c r="H44" s="14">
        <f>H40+E44</f>
        <v>1841461.467999999</v>
      </c>
      <c r="I44" s="6">
        <f>I40+F44</f>
        <v>1754606.9099999997</v>
      </c>
      <c r="J44" s="6" t="s">
        <v>29</v>
      </c>
      <c r="K44" s="14">
        <f>K40+E44</f>
        <v>1841461.471999999</v>
      </c>
      <c r="L44" s="6">
        <v>1732358.14</v>
      </c>
      <c r="M44" s="18"/>
    </row>
    <row r="45" spans="1:13" ht="15">
      <c r="A45" s="6">
        <v>2019</v>
      </c>
      <c r="B45" s="6" t="s">
        <v>13</v>
      </c>
      <c r="C45" s="6">
        <v>9.07</v>
      </c>
      <c r="D45" s="3">
        <v>6932.7</v>
      </c>
      <c r="E45" s="14">
        <f>C45*D45</f>
        <v>62879.589</v>
      </c>
      <c r="F45" s="6">
        <v>58841.72</v>
      </c>
      <c r="G45" s="15">
        <f aca="true" t="shared" si="8" ref="G45:G56">F45/E45*100%</f>
        <v>0.9357841063496773</v>
      </c>
      <c r="H45" s="14">
        <f>H44+E44</f>
        <v>1904341.0569999989</v>
      </c>
      <c r="I45" s="6">
        <f aca="true" t="shared" si="9" ref="I45:I54">I44+F45</f>
        <v>1813448.6299999997</v>
      </c>
      <c r="J45" s="6" t="s">
        <v>29</v>
      </c>
      <c r="K45" s="14">
        <f aca="true" t="shared" si="10" ref="K45:K55">K44+E44</f>
        <v>1904341.0609999988</v>
      </c>
      <c r="L45" s="6">
        <v>1789727.65</v>
      </c>
      <c r="M45" s="20"/>
    </row>
    <row r="46" spans="1:13" ht="15">
      <c r="A46" s="6">
        <v>2019</v>
      </c>
      <c r="B46" s="6" t="s">
        <v>14</v>
      </c>
      <c r="C46" s="6">
        <v>9.07</v>
      </c>
      <c r="D46" s="3">
        <v>6932.7</v>
      </c>
      <c r="E46" s="14">
        <f aca="true" t="shared" si="11" ref="E46:E55">D46*C46</f>
        <v>62879.589</v>
      </c>
      <c r="F46" s="6">
        <v>59347.91</v>
      </c>
      <c r="G46" s="15">
        <f t="shared" si="8"/>
        <v>0.9438342543873817</v>
      </c>
      <c r="H46" s="14">
        <f aca="true" t="shared" si="12" ref="H46:H54">H45+E44</f>
        <v>1967220.6459999988</v>
      </c>
      <c r="I46" s="6">
        <f t="shared" si="9"/>
        <v>1872796.5399999996</v>
      </c>
      <c r="J46" s="6" t="s">
        <v>29</v>
      </c>
      <c r="K46" s="14">
        <f t="shared" si="10"/>
        <v>1967220.6499999987</v>
      </c>
      <c r="L46" s="6">
        <v>1854301.6</v>
      </c>
      <c r="M46" s="19">
        <f aca="true" t="shared" si="13" ref="M46:M55">I46-L46</f>
        <v>18494.93999999948</v>
      </c>
    </row>
    <row r="47" spans="1:13" ht="15">
      <c r="A47" s="6">
        <v>2019</v>
      </c>
      <c r="B47" s="6" t="s">
        <v>15</v>
      </c>
      <c r="C47" s="6">
        <v>9.07</v>
      </c>
      <c r="D47" s="3">
        <v>6932.7</v>
      </c>
      <c r="E47" s="14">
        <f t="shared" si="11"/>
        <v>62879.589</v>
      </c>
      <c r="F47" s="6">
        <v>60525.59</v>
      </c>
      <c r="G47" s="15">
        <f t="shared" si="8"/>
        <v>0.9625633844394244</v>
      </c>
      <c r="H47" s="14">
        <f t="shared" si="12"/>
        <v>2030100.2349999987</v>
      </c>
      <c r="I47" s="6">
        <f t="shared" si="9"/>
        <v>1933322.1299999997</v>
      </c>
      <c r="J47" s="6" t="s">
        <v>29</v>
      </c>
      <c r="K47" s="14">
        <f t="shared" si="10"/>
        <v>2030100.2389999987</v>
      </c>
      <c r="L47" s="6">
        <v>1923426.47</v>
      </c>
      <c r="M47" s="19">
        <f t="shared" si="13"/>
        <v>9895.659999999683</v>
      </c>
    </row>
    <row r="48" spans="1:13" ht="15">
      <c r="A48" s="6">
        <v>2019</v>
      </c>
      <c r="B48" s="6" t="s">
        <v>16</v>
      </c>
      <c r="C48" s="6">
        <v>9.07</v>
      </c>
      <c r="D48" s="3">
        <v>6932.7</v>
      </c>
      <c r="E48" s="14">
        <f t="shared" si="11"/>
        <v>62879.589</v>
      </c>
      <c r="F48" s="6">
        <f>16429.46+13260.39+11381.06+19906.01</f>
        <v>60976.92</v>
      </c>
      <c r="G48" s="15">
        <f t="shared" si="8"/>
        <v>0.969741071303758</v>
      </c>
      <c r="H48" s="14">
        <f t="shared" si="12"/>
        <v>2092979.8239999986</v>
      </c>
      <c r="I48" s="6">
        <f t="shared" si="9"/>
        <v>1994299.0499999996</v>
      </c>
      <c r="J48" s="6" t="s">
        <v>29</v>
      </c>
      <c r="K48" s="14">
        <f t="shared" si="10"/>
        <v>2092979.8279999986</v>
      </c>
      <c r="L48" s="6">
        <f>1974393.04-900</f>
        <v>1973493.04</v>
      </c>
      <c r="M48" s="19">
        <f t="shared" si="13"/>
        <v>20806.009999999544</v>
      </c>
    </row>
    <row r="49" spans="1:13" ht="15">
      <c r="A49" s="6">
        <v>2019</v>
      </c>
      <c r="B49" s="6" t="s">
        <v>17</v>
      </c>
      <c r="C49" s="6">
        <v>9.07</v>
      </c>
      <c r="D49" s="3">
        <v>6932.7</v>
      </c>
      <c r="E49" s="14">
        <f t="shared" si="11"/>
        <v>62879.589</v>
      </c>
      <c r="F49" s="6">
        <f>14316.15+11161.57+9956.87+16500.19</f>
        <v>51934.78</v>
      </c>
      <c r="G49" s="15">
        <f t="shared" si="8"/>
        <v>0.8259401949971397</v>
      </c>
      <c r="H49" s="14">
        <f t="shared" si="12"/>
        <v>2155859.412999999</v>
      </c>
      <c r="I49" s="6">
        <f t="shared" si="9"/>
        <v>2046233.8299999996</v>
      </c>
      <c r="J49" s="6" t="s">
        <v>29</v>
      </c>
      <c r="K49" s="14">
        <f t="shared" si="10"/>
        <v>2155859.4169999985</v>
      </c>
      <c r="L49" s="6">
        <v>2028833.64</v>
      </c>
      <c r="M49" s="19">
        <f t="shared" si="13"/>
        <v>17400.18999999971</v>
      </c>
    </row>
    <row r="50" spans="1:13" ht="15">
      <c r="A50" s="6">
        <v>2019</v>
      </c>
      <c r="B50" s="6" t="s">
        <v>18</v>
      </c>
      <c r="C50" s="6">
        <v>9.07</v>
      </c>
      <c r="D50" s="3">
        <v>6932.7</v>
      </c>
      <c r="E50" s="14">
        <f t="shared" si="11"/>
        <v>62879.589</v>
      </c>
      <c r="F50" s="6">
        <f>22394.81+13147.9+7037.44+15481.62+8915.8</f>
        <v>66977.57</v>
      </c>
      <c r="G50" s="15">
        <f t="shared" si="8"/>
        <v>1.0651718795426606</v>
      </c>
      <c r="H50" s="14">
        <f t="shared" si="12"/>
        <v>2218739.001999999</v>
      </c>
      <c r="I50" s="6">
        <f t="shared" si="9"/>
        <v>2113211.3999999994</v>
      </c>
      <c r="J50" s="6" t="s">
        <v>29</v>
      </c>
      <c r="K50" s="14">
        <f t="shared" si="10"/>
        <v>2218739.0059999987</v>
      </c>
      <c r="L50" s="6">
        <v>2103395.6</v>
      </c>
      <c r="M50" s="19">
        <f t="shared" si="13"/>
        <v>9815.799999999348</v>
      </c>
    </row>
    <row r="51" spans="1:13" ht="15">
      <c r="A51" s="6">
        <v>2019</v>
      </c>
      <c r="B51" s="6" t="s">
        <v>19</v>
      </c>
      <c r="C51" s="6">
        <v>9.07</v>
      </c>
      <c r="D51" s="3">
        <v>6932.7</v>
      </c>
      <c r="E51" s="14">
        <f t="shared" si="11"/>
        <v>62879.589</v>
      </c>
      <c r="F51" s="6">
        <f>14956.48+10671.8+5967.14+13201.18+15124.24</f>
        <v>59920.84</v>
      </c>
      <c r="G51" s="15">
        <f t="shared" si="8"/>
        <v>0.9529457961310783</v>
      </c>
      <c r="H51" s="14">
        <f t="shared" si="12"/>
        <v>2281618.590999999</v>
      </c>
      <c r="I51" s="6">
        <f t="shared" si="9"/>
        <v>2173132.2399999993</v>
      </c>
      <c r="J51" s="6" t="s">
        <v>29</v>
      </c>
      <c r="K51" s="14">
        <f t="shared" si="10"/>
        <v>2281618.594999999</v>
      </c>
      <c r="L51" s="6">
        <v>2158008</v>
      </c>
      <c r="M51" s="19">
        <f t="shared" si="13"/>
        <v>15124.239999999292</v>
      </c>
    </row>
    <row r="52" spans="1:13" ht="15">
      <c r="A52" s="6">
        <v>2019</v>
      </c>
      <c r="B52" s="6" t="s">
        <v>20</v>
      </c>
      <c r="C52" s="6">
        <v>9.07</v>
      </c>
      <c r="D52" s="3">
        <v>6932.7</v>
      </c>
      <c r="E52" s="14">
        <f t="shared" si="11"/>
        <v>62879.589</v>
      </c>
      <c r="F52" s="6">
        <f>16927.4+14800.49+12172+19877.88</f>
        <v>63777.770000000004</v>
      </c>
      <c r="G52" s="15">
        <f t="shared" si="8"/>
        <v>1.01428414234705</v>
      </c>
      <c r="H52" s="14">
        <f t="shared" si="12"/>
        <v>2344498.1799999992</v>
      </c>
      <c r="I52" s="6">
        <f t="shared" si="9"/>
        <v>2236910.0099999993</v>
      </c>
      <c r="J52" s="6" t="s">
        <v>29</v>
      </c>
      <c r="K52" s="14">
        <f t="shared" si="10"/>
        <v>2344498.183999999</v>
      </c>
      <c r="L52" s="6">
        <v>2217032.13</v>
      </c>
      <c r="M52" s="19">
        <f t="shared" si="13"/>
        <v>19877.879999999423</v>
      </c>
    </row>
    <row r="53" spans="1:13" ht="15">
      <c r="A53" s="6">
        <v>2019</v>
      </c>
      <c r="B53" s="6" t="s">
        <v>21</v>
      </c>
      <c r="C53" s="6">
        <v>9.07</v>
      </c>
      <c r="D53" s="3">
        <v>6932.7</v>
      </c>
      <c r="E53" s="14">
        <f t="shared" si="11"/>
        <v>62879.589</v>
      </c>
      <c r="F53" s="6">
        <f>17342.79+13720.24+5490.08+12437.72+25007.87</f>
        <v>73998.7</v>
      </c>
      <c r="G53" s="15">
        <f t="shared" si="8"/>
        <v>1.17683180149285</v>
      </c>
      <c r="H53" s="14">
        <f t="shared" si="12"/>
        <v>2407377.7689999994</v>
      </c>
      <c r="I53" s="6">
        <f t="shared" si="9"/>
        <v>2310908.7099999995</v>
      </c>
      <c r="J53" s="6" t="s">
        <v>29</v>
      </c>
      <c r="K53" s="14">
        <f t="shared" si="10"/>
        <v>2407377.772999999</v>
      </c>
      <c r="L53" s="14">
        <v>2285900.84</v>
      </c>
      <c r="M53" s="19">
        <f t="shared" si="13"/>
        <v>25007.869999999646</v>
      </c>
    </row>
    <row r="54" spans="1:13" ht="15">
      <c r="A54" s="6">
        <v>2019</v>
      </c>
      <c r="B54" s="6" t="s">
        <v>22</v>
      </c>
      <c r="C54" s="6">
        <v>9.07</v>
      </c>
      <c r="D54" s="3">
        <v>6932.7</v>
      </c>
      <c r="E54" s="14">
        <f t="shared" si="11"/>
        <v>62879.589</v>
      </c>
      <c r="F54" s="6">
        <f>25557.54+11811.08+10600.51+18533.58</f>
        <v>66502.71</v>
      </c>
      <c r="G54" s="15">
        <f t="shared" si="8"/>
        <v>1.0576199853978054</v>
      </c>
      <c r="H54" s="14">
        <f t="shared" si="12"/>
        <v>2470257.3579999995</v>
      </c>
      <c r="I54" s="6">
        <f t="shared" si="9"/>
        <v>2377411.4199999995</v>
      </c>
      <c r="J54" s="6" t="s">
        <v>29</v>
      </c>
      <c r="K54" s="14">
        <f t="shared" si="10"/>
        <v>2470257.3619999993</v>
      </c>
      <c r="L54" s="6">
        <v>2358877.84</v>
      </c>
      <c r="M54" s="19">
        <f t="shared" si="13"/>
        <v>18533.57999999961</v>
      </c>
    </row>
    <row r="55" spans="1:13" ht="15">
      <c r="A55" s="6">
        <v>2019</v>
      </c>
      <c r="B55" s="6" t="s">
        <v>23</v>
      </c>
      <c r="C55" s="6">
        <v>9.07</v>
      </c>
      <c r="D55" s="3">
        <v>6932.7</v>
      </c>
      <c r="E55" s="14">
        <f t="shared" si="11"/>
        <v>62879.589</v>
      </c>
      <c r="F55" s="6">
        <f>22879.7+11532.51+13165.15+35562.55+2576.79</f>
        <v>85716.7</v>
      </c>
      <c r="G55" s="15">
        <f t="shared" si="8"/>
        <v>1.3631879813972703</v>
      </c>
      <c r="H55" s="14">
        <f>H54+E53</f>
        <v>2533136.9469999997</v>
      </c>
      <c r="I55" s="6">
        <f>I54+F55</f>
        <v>2463128.1199999996</v>
      </c>
      <c r="J55" s="6" t="s">
        <v>29</v>
      </c>
      <c r="K55" s="14">
        <f t="shared" si="10"/>
        <v>2533136.9509999994</v>
      </c>
      <c r="L55" s="6">
        <v>2461451.33</v>
      </c>
      <c r="M55" s="19">
        <f t="shared" si="13"/>
        <v>1676.7899999995716</v>
      </c>
    </row>
    <row r="56" spans="1:12" s="13" customFormat="1" ht="15">
      <c r="A56" s="7"/>
      <c r="B56" s="7" t="s">
        <v>30</v>
      </c>
      <c r="C56" s="7"/>
      <c r="D56" s="7"/>
      <c r="E56" s="16">
        <f>SUM(E44:E55)</f>
        <v>754555.0680000001</v>
      </c>
      <c r="F56" s="7">
        <f>SUM(F44:F55)</f>
        <v>755987.3999999999</v>
      </c>
      <c r="G56" s="17">
        <f t="shared" si="8"/>
        <v>1.0018982471402602</v>
      </c>
      <c r="H56" s="7"/>
      <c r="I56" s="7"/>
      <c r="J56" s="7"/>
      <c r="K56" s="7"/>
      <c r="L56" s="7"/>
    </row>
    <row r="58" spans="1:12" ht="15">
      <c r="A58" s="21" t="s">
        <v>33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1:13" ht="15">
      <c r="A59" s="6">
        <v>2020</v>
      </c>
      <c r="B59" s="6" t="s">
        <v>25</v>
      </c>
      <c r="C59" s="6">
        <v>9.07</v>
      </c>
      <c r="D59" s="3">
        <v>6932.7</v>
      </c>
      <c r="E59" s="14">
        <f>C59*D59</f>
        <v>62879.589</v>
      </c>
      <c r="F59" s="6">
        <f>6432.47+13366.51+7701.37+17878.85</f>
        <v>45379.2</v>
      </c>
      <c r="G59" s="15">
        <f>F59/E59*100%</f>
        <v>0.7216841064276039</v>
      </c>
      <c r="H59" s="14">
        <f>H55+E59</f>
        <v>2596016.536</v>
      </c>
      <c r="I59" s="6">
        <f>I55+F59</f>
        <v>2508507.32</v>
      </c>
      <c r="J59" s="6" t="s">
        <v>29</v>
      </c>
      <c r="K59" s="14">
        <f>K55+E59</f>
        <v>2596016.5399999996</v>
      </c>
      <c r="L59" s="6">
        <v>2490628.47</v>
      </c>
      <c r="M59" s="19">
        <f aca="true" t="shared" si="14" ref="M59:M70">I59-L59</f>
        <v>17878.849999999627</v>
      </c>
    </row>
    <row r="60" spans="1:13" ht="15">
      <c r="A60" s="6">
        <v>2020</v>
      </c>
      <c r="B60" s="6" t="s">
        <v>13</v>
      </c>
      <c r="C60" s="6">
        <v>9.07</v>
      </c>
      <c r="D60" s="3">
        <v>6932.7</v>
      </c>
      <c r="E60" s="14">
        <f>C60*D60</f>
        <v>62879.589</v>
      </c>
      <c r="F60" s="6">
        <f>13443.58+12808.69+3113.74+17486.1</f>
        <v>46852.11</v>
      </c>
      <c r="G60" s="15">
        <f aca="true" t="shared" si="15" ref="G60:G70">F60/E60*100%</f>
        <v>0.7451084007562454</v>
      </c>
      <c r="H60" s="14">
        <f aca="true" t="shared" si="16" ref="H60:I65">H59+E60</f>
        <v>2658896.125</v>
      </c>
      <c r="I60" s="6">
        <f t="shared" si="16"/>
        <v>2555359.4299999997</v>
      </c>
      <c r="J60" s="6" t="s">
        <v>29</v>
      </c>
      <c r="K60" s="14">
        <f aca="true" t="shared" si="17" ref="K60:K70">K59+E60</f>
        <v>2658896.1289999997</v>
      </c>
      <c r="L60" s="6">
        <v>2537873.33</v>
      </c>
      <c r="M60" s="19">
        <f t="shared" si="14"/>
        <v>17486.099999999627</v>
      </c>
    </row>
    <row r="61" spans="1:13" ht="15">
      <c r="A61" s="6">
        <v>2020</v>
      </c>
      <c r="B61" s="6" t="s">
        <v>14</v>
      </c>
      <c r="C61" s="6">
        <v>9.07</v>
      </c>
      <c r="D61" s="3">
        <v>6932.7</v>
      </c>
      <c r="E61" s="14">
        <f>C61*D61</f>
        <v>62879.589</v>
      </c>
      <c r="F61" s="6">
        <f>24594.3+13234.07+10192+21876.91</f>
        <v>69897.28</v>
      </c>
      <c r="G61" s="15">
        <f t="shared" si="15"/>
        <v>1.1116052301168826</v>
      </c>
      <c r="H61" s="14">
        <f t="shared" si="16"/>
        <v>2721775.714</v>
      </c>
      <c r="I61" s="6">
        <f t="shared" si="16"/>
        <v>2625256.7099999995</v>
      </c>
      <c r="J61" s="6" t="s">
        <v>29</v>
      </c>
      <c r="K61" s="14">
        <f t="shared" si="17"/>
        <v>2721775.718</v>
      </c>
      <c r="L61" s="6">
        <v>2603379.8</v>
      </c>
      <c r="M61" s="19">
        <f t="shared" si="14"/>
        <v>21876.909999999683</v>
      </c>
    </row>
    <row r="62" spans="1:13" ht="15">
      <c r="A62" s="6">
        <v>2020</v>
      </c>
      <c r="B62" s="6" t="s">
        <v>15</v>
      </c>
      <c r="C62" s="6">
        <v>9.07</v>
      </c>
      <c r="D62" s="3">
        <v>6932.7</v>
      </c>
      <c r="E62" s="14"/>
      <c r="F62" s="6">
        <f>2407.19+9670.47+9304.04+2075.22+8151.23</f>
        <v>31608.15</v>
      </c>
      <c r="G62" s="15"/>
      <c r="H62" s="14">
        <f t="shared" si="16"/>
        <v>2721775.714</v>
      </c>
      <c r="I62" s="6">
        <f t="shared" si="16"/>
        <v>2656864.8599999994</v>
      </c>
      <c r="J62" s="6" t="s">
        <v>29</v>
      </c>
      <c r="K62" s="14">
        <f t="shared" si="17"/>
        <v>2721775.718</v>
      </c>
      <c r="L62" s="6">
        <v>2648713.63</v>
      </c>
      <c r="M62" s="19">
        <f t="shared" si="14"/>
        <v>8151.229999999516</v>
      </c>
    </row>
    <row r="63" spans="1:13" ht="15">
      <c r="A63" s="6">
        <v>2020</v>
      </c>
      <c r="B63" s="6" t="s">
        <v>16</v>
      </c>
      <c r="C63" s="6">
        <v>9.07</v>
      </c>
      <c r="D63" s="3">
        <v>6932.7</v>
      </c>
      <c r="E63" s="14"/>
      <c r="F63" s="6">
        <f>6320.92+3259.76+4510.53+3823.92</f>
        <v>17915.129999999997</v>
      </c>
      <c r="G63" s="15"/>
      <c r="H63" s="14">
        <f>H62+E63</f>
        <v>2721775.714</v>
      </c>
      <c r="I63" s="6">
        <f t="shared" si="16"/>
        <v>2674779.9899999993</v>
      </c>
      <c r="J63" s="6" t="s">
        <v>29</v>
      </c>
      <c r="K63" s="14">
        <f t="shared" si="17"/>
        <v>2721775.718</v>
      </c>
      <c r="L63" s="6">
        <v>2670956.07</v>
      </c>
      <c r="M63" s="19">
        <f t="shared" si="14"/>
        <v>3823.91999999946</v>
      </c>
    </row>
    <row r="64" spans="1:13" ht="15">
      <c r="A64" s="6">
        <v>2020</v>
      </c>
      <c r="B64" s="6" t="s">
        <v>17</v>
      </c>
      <c r="C64" s="6">
        <v>9.07</v>
      </c>
      <c r="D64" s="3">
        <v>6932.7</v>
      </c>
      <c r="E64" s="14"/>
      <c r="F64" s="6">
        <f>1051.22+2598.1+1019.46+945.1</f>
        <v>5613.88</v>
      </c>
      <c r="G64" s="15"/>
      <c r="H64" s="14">
        <f>H63+E64</f>
        <v>2721775.714</v>
      </c>
      <c r="I64" s="6">
        <f t="shared" si="16"/>
        <v>2680393.869999999</v>
      </c>
      <c r="J64" s="6" t="s">
        <v>29</v>
      </c>
      <c r="K64" s="14">
        <f t="shared" si="17"/>
        <v>2721775.718</v>
      </c>
      <c r="L64" s="6">
        <v>2681293.87</v>
      </c>
      <c r="M64" s="19">
        <f t="shared" si="14"/>
        <v>-900.0000000009313</v>
      </c>
    </row>
    <row r="65" spans="1:13" ht="15">
      <c r="A65" s="6">
        <v>2020</v>
      </c>
      <c r="B65" s="6" t="s">
        <v>18</v>
      </c>
      <c r="C65" s="6">
        <v>9.07</v>
      </c>
      <c r="D65" s="3">
        <v>6932.7</v>
      </c>
      <c r="E65" s="14">
        <f aca="true" t="shared" si="18" ref="E65:E70">C65*D65</f>
        <v>62879.589</v>
      </c>
      <c r="F65" s="6">
        <f>3218.94+2370.36+9354.35+11154.33</f>
        <v>26097.980000000003</v>
      </c>
      <c r="G65" s="15">
        <f t="shared" si="15"/>
        <v>0.4150469240503465</v>
      </c>
      <c r="H65" s="14">
        <f>H64+E65</f>
        <v>2784655.3030000003</v>
      </c>
      <c r="I65" s="6">
        <f t="shared" si="16"/>
        <v>2706491.849999999</v>
      </c>
      <c r="J65" s="6" t="s">
        <v>29</v>
      </c>
      <c r="K65" s="14">
        <f t="shared" si="17"/>
        <v>2784655.307</v>
      </c>
      <c r="L65" s="6">
        <v>2695337.52</v>
      </c>
      <c r="M65" s="19">
        <f t="shared" si="14"/>
        <v>11154.329999999143</v>
      </c>
    </row>
    <row r="66" spans="1:13" ht="15">
      <c r="A66" s="6">
        <v>2020</v>
      </c>
      <c r="B66" s="6" t="s">
        <v>19</v>
      </c>
      <c r="C66" s="6">
        <v>9.07</v>
      </c>
      <c r="D66" s="3">
        <v>6932.7</v>
      </c>
      <c r="E66" s="14">
        <f t="shared" si="18"/>
        <v>62879.589</v>
      </c>
      <c r="F66" s="6">
        <f>10956.6+7093.67+5891.9+25848.65</f>
        <v>49790.82</v>
      </c>
      <c r="G66" s="15">
        <f t="shared" si="15"/>
        <v>0.791843916155368</v>
      </c>
      <c r="H66" s="14">
        <f>H65+E66</f>
        <v>2847534.8920000005</v>
      </c>
      <c r="I66" s="6">
        <f>I65+F66</f>
        <v>2756282.669999999</v>
      </c>
      <c r="J66" s="6" t="s">
        <v>29</v>
      </c>
      <c r="K66" s="14">
        <f t="shared" si="17"/>
        <v>2847534.896</v>
      </c>
      <c r="L66" s="6">
        <v>2729534.02</v>
      </c>
      <c r="M66" s="19">
        <f t="shared" si="14"/>
        <v>26748.649999998976</v>
      </c>
    </row>
    <row r="67" spans="1:13" ht="15">
      <c r="A67" s="6">
        <v>2020</v>
      </c>
      <c r="B67" s="6" t="s">
        <v>20</v>
      </c>
      <c r="C67" s="6">
        <v>9.07</v>
      </c>
      <c r="D67" s="3">
        <v>6932.7</v>
      </c>
      <c r="E67" s="14">
        <f t="shared" si="18"/>
        <v>62879.589</v>
      </c>
      <c r="F67" s="6">
        <f>10053.97+11783.79+10659.54+11679.47+12332.96</f>
        <v>56509.73</v>
      </c>
      <c r="G67" s="15">
        <f t="shared" si="15"/>
        <v>0.8986975089802194</v>
      </c>
      <c r="H67" s="14">
        <f>H66+E67</f>
        <v>2910414.4810000006</v>
      </c>
      <c r="I67" s="6">
        <f>I66+F67</f>
        <v>2812792.399999999</v>
      </c>
      <c r="J67" s="6" t="s">
        <v>29</v>
      </c>
      <c r="K67" s="14">
        <f t="shared" si="17"/>
        <v>2910414.4850000003</v>
      </c>
      <c r="L67" s="6">
        <v>2811934.37</v>
      </c>
      <c r="M67" s="19">
        <f t="shared" si="14"/>
        <v>858.0299999988638</v>
      </c>
    </row>
    <row r="68" spans="1:13" ht="15">
      <c r="A68" s="6">
        <v>2020</v>
      </c>
      <c r="B68" s="6" t="s">
        <v>21</v>
      </c>
      <c r="C68" s="6">
        <v>9.07</v>
      </c>
      <c r="D68" s="3">
        <v>6932.7</v>
      </c>
      <c r="E68" s="14">
        <f t="shared" si="18"/>
        <v>62879.589</v>
      </c>
      <c r="F68" s="6">
        <f>7595.24+9860.94+16952.8+5261.53+23675.47</f>
        <v>63345.979999999996</v>
      </c>
      <c r="G68" s="15">
        <f t="shared" si="15"/>
        <v>1.0074172081500086</v>
      </c>
      <c r="H68" s="14">
        <f>H67+E68</f>
        <v>2973294.0700000008</v>
      </c>
      <c r="I68" s="6">
        <f>I67+F68</f>
        <v>2876138.379999999</v>
      </c>
      <c r="J68" s="6" t="s">
        <v>29</v>
      </c>
      <c r="K68" s="14">
        <f t="shared" si="17"/>
        <v>2973294.0740000005</v>
      </c>
      <c r="L68" s="14">
        <v>2851562.91</v>
      </c>
      <c r="M68" s="19">
        <f t="shared" si="14"/>
        <v>24575.469999998808</v>
      </c>
    </row>
    <row r="69" spans="1:13" ht="15">
      <c r="A69" s="6">
        <v>2020</v>
      </c>
      <c r="B69" s="6" t="s">
        <v>22</v>
      </c>
      <c r="C69" s="6">
        <v>9.07</v>
      </c>
      <c r="D69" s="3">
        <v>6932.7</v>
      </c>
      <c r="E69" s="14">
        <f t="shared" si="18"/>
        <v>62879.589</v>
      </c>
      <c r="F69" s="6">
        <v>57001.01</v>
      </c>
      <c r="G69" s="15">
        <f t="shared" si="15"/>
        <v>0.9065105371474359</v>
      </c>
      <c r="H69" s="14">
        <f>H68+E69</f>
        <v>3036173.659000001</v>
      </c>
      <c r="I69" s="6">
        <f>I68+F69</f>
        <v>2933139.3899999987</v>
      </c>
      <c r="J69" s="6" t="s">
        <v>29</v>
      </c>
      <c r="K69" s="14">
        <f t="shared" si="17"/>
        <v>3036173.6630000006</v>
      </c>
      <c r="L69" s="6">
        <v>2931262.8</v>
      </c>
      <c r="M69" s="19">
        <f t="shared" si="14"/>
        <v>1876.5899999989197</v>
      </c>
    </row>
    <row r="70" spans="1:13" ht="15">
      <c r="A70" s="6">
        <v>2020</v>
      </c>
      <c r="B70" s="6" t="s">
        <v>23</v>
      </c>
      <c r="C70" s="6">
        <v>9.07</v>
      </c>
      <c r="D70" s="3">
        <v>6932.7</v>
      </c>
      <c r="E70" s="14">
        <f t="shared" si="18"/>
        <v>62879.589</v>
      </c>
      <c r="F70" s="6">
        <f>16358.72+8822.41+13347.92+38738.99+13089.87</f>
        <v>90357.90999999999</v>
      </c>
      <c r="G70" s="15">
        <f t="shared" si="15"/>
        <v>1.4369990554486607</v>
      </c>
      <c r="H70" s="14">
        <f>H69+E70</f>
        <v>3099053.248000001</v>
      </c>
      <c r="I70" s="6">
        <f>I69+F70</f>
        <v>3023497.299999999</v>
      </c>
      <c r="J70" s="6" t="s">
        <v>29</v>
      </c>
      <c r="K70" s="14">
        <f t="shared" si="17"/>
        <v>3099053.252000001</v>
      </c>
      <c r="L70" s="6">
        <v>3010407.43</v>
      </c>
      <c r="M70" s="19">
        <f t="shared" si="14"/>
        <v>13089.869999998715</v>
      </c>
    </row>
    <row r="71" spans="1:13" ht="15">
      <c r="A71" s="7"/>
      <c r="B71" s="7" t="s">
        <v>30</v>
      </c>
      <c r="C71" s="7"/>
      <c r="D71" s="7"/>
      <c r="E71" s="16">
        <f>SUM(E59:E70)</f>
        <v>565916.301</v>
      </c>
      <c r="F71" s="7">
        <f>SUM(F59:F70)</f>
        <v>560369.1799999999</v>
      </c>
      <c r="G71" s="17">
        <f>F71/E71*100%</f>
        <v>0.9901979833586733</v>
      </c>
      <c r="H71" s="7"/>
      <c r="I71" s="7"/>
      <c r="J71" s="7"/>
      <c r="K71" s="7"/>
      <c r="L71" s="7"/>
      <c r="M71" s="13"/>
    </row>
    <row r="73" spans="1:12" ht="15">
      <c r="A73" s="21" t="s">
        <v>34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</row>
    <row r="74" spans="1:13" ht="15">
      <c r="A74" s="6">
        <v>2021</v>
      </c>
      <c r="B74" s="6" t="s">
        <v>25</v>
      </c>
      <c r="C74" s="6">
        <v>9.07</v>
      </c>
      <c r="D74" s="3">
        <v>6932.7</v>
      </c>
      <c r="E74" s="14">
        <f>C74*D74</f>
        <v>62879.589</v>
      </c>
      <c r="F74" s="6">
        <f>3561.8+10127.59+10725.32+21469.19</f>
        <v>45883.899999999994</v>
      </c>
      <c r="G74" s="15">
        <f>F74/E74*100%</f>
        <v>0.7297105583816713</v>
      </c>
      <c r="H74" s="14">
        <f>H70+E74</f>
        <v>3161932.837000001</v>
      </c>
      <c r="I74" s="6">
        <f>I70+F74</f>
        <v>3069381.199999999</v>
      </c>
      <c r="J74" s="6" t="s">
        <v>29</v>
      </c>
      <c r="K74" s="14">
        <f>K70+E74</f>
        <v>3161932.841000001</v>
      </c>
      <c r="L74" s="6">
        <v>3047912.01</v>
      </c>
      <c r="M74" s="19">
        <f>L74-I74</f>
        <v>-21469.189999999013</v>
      </c>
    </row>
    <row r="75" spans="1:13" ht="15">
      <c r="A75" s="6">
        <v>2021</v>
      </c>
      <c r="B75" s="6" t="s">
        <v>13</v>
      </c>
      <c r="C75" s="6">
        <v>9.07</v>
      </c>
      <c r="D75" s="3">
        <v>6932.7</v>
      </c>
      <c r="E75" s="14">
        <f>C75*D75</f>
        <v>62879.589</v>
      </c>
      <c r="F75" s="6">
        <f>13701.19+22130.86+15422.69+8723.55</f>
        <v>59978.29000000001</v>
      </c>
      <c r="G75" s="15">
        <f>F75/E75*100%</f>
        <v>0.9538594471411066</v>
      </c>
      <c r="H75" s="14">
        <f aca="true" t="shared" si="19" ref="H75:I77">H74+E75</f>
        <v>3224812.4260000014</v>
      </c>
      <c r="I75" s="6">
        <f t="shared" si="19"/>
        <v>3129359.489999999</v>
      </c>
      <c r="J75" s="6" t="s">
        <v>29</v>
      </c>
      <c r="K75" s="14">
        <f aca="true" t="shared" si="20" ref="K75:K82">K74+E75</f>
        <v>3224812.430000001</v>
      </c>
      <c r="L75" s="6">
        <v>3107228.63</v>
      </c>
      <c r="M75" s="19">
        <f aca="true" t="shared" si="21" ref="M75:M85">L75-I75</f>
        <v>-22130.85999999894</v>
      </c>
    </row>
    <row r="76" spans="1:13" ht="15">
      <c r="A76" s="6">
        <v>2021</v>
      </c>
      <c r="B76" s="6" t="s">
        <v>14</v>
      </c>
      <c r="C76" s="6">
        <v>9.07</v>
      </c>
      <c r="D76" s="3">
        <v>6932.7</v>
      </c>
      <c r="E76" s="14">
        <f aca="true" t="shared" si="22" ref="E76:E85">C76*D76</f>
        <v>62879.589</v>
      </c>
      <c r="F76" s="6">
        <f>17702.41+7816.54+10419.65+26492.64</f>
        <v>62431.24</v>
      </c>
      <c r="G76" s="15">
        <f>F76/E76*100%</f>
        <v>0.992869721206352</v>
      </c>
      <c r="H76" s="14">
        <f t="shared" si="19"/>
        <v>3287692.0150000015</v>
      </c>
      <c r="I76" s="6">
        <f t="shared" si="19"/>
        <v>3191790.729999999</v>
      </c>
      <c r="J76" s="6" t="s">
        <v>29</v>
      </c>
      <c r="K76" s="14">
        <f t="shared" si="20"/>
        <v>3287692.0190000013</v>
      </c>
      <c r="L76" s="6">
        <v>3185358.26</v>
      </c>
      <c r="M76" s="19">
        <f t="shared" si="21"/>
        <v>-6432.469999999274</v>
      </c>
    </row>
    <row r="77" spans="1:13" ht="15">
      <c r="A77" s="6">
        <v>2021</v>
      </c>
      <c r="B77" s="6" t="s">
        <v>15</v>
      </c>
      <c r="C77" s="6">
        <v>9.07</v>
      </c>
      <c r="D77" s="3">
        <v>6932.7</v>
      </c>
      <c r="E77" s="14">
        <f t="shared" si="22"/>
        <v>62879.589</v>
      </c>
      <c r="F77" s="6">
        <f>5173.55+16537.38+10432.8+8410.63+19075.17</f>
        <v>59629.53</v>
      </c>
      <c r="G77" s="15">
        <f>F77/E77*100%</f>
        <v>0.9483129732288803</v>
      </c>
      <c r="H77" s="14">
        <f t="shared" si="19"/>
        <v>3350571.6040000017</v>
      </c>
      <c r="I77" s="6">
        <f t="shared" si="19"/>
        <v>3251420.259999999</v>
      </c>
      <c r="J77" s="6" t="s">
        <v>29</v>
      </c>
      <c r="K77" s="14">
        <f t="shared" si="20"/>
        <v>3350571.6080000014</v>
      </c>
      <c r="L77" s="6">
        <v>3232345.09</v>
      </c>
      <c r="M77" s="19">
        <f t="shared" si="21"/>
        <v>-19075.169999998994</v>
      </c>
    </row>
    <row r="78" spans="1:13" ht="15">
      <c r="A78" s="6">
        <v>2021</v>
      </c>
      <c r="B78" s="6" t="s">
        <v>16</v>
      </c>
      <c r="C78" s="6">
        <v>9.07</v>
      </c>
      <c r="D78" s="3">
        <v>6932.7</v>
      </c>
      <c r="E78" s="14">
        <f t="shared" si="22"/>
        <v>62879.589</v>
      </c>
      <c r="F78" s="6">
        <f>12922.09+7649.67+13957.42+20401.23</f>
        <v>54930.41</v>
      </c>
      <c r="G78" s="15">
        <f>F78/E78*100%</f>
        <v>0.8735809325980168</v>
      </c>
      <c r="H78" s="14">
        <f>H77+E78</f>
        <v>3413451.193000002</v>
      </c>
      <c r="I78" s="6">
        <f>I77+F78</f>
        <v>3306350.669999999</v>
      </c>
      <c r="J78" s="6" t="s">
        <v>29</v>
      </c>
      <c r="K78" s="14">
        <f t="shared" si="20"/>
        <v>3413451.1970000016</v>
      </c>
      <c r="L78" s="6">
        <f>3285949.44</f>
        <v>3285949.44</v>
      </c>
      <c r="M78" s="19">
        <f t="shared" si="21"/>
        <v>-20401.22999999905</v>
      </c>
    </row>
    <row r="79" spans="1:13" ht="15">
      <c r="A79" s="6">
        <v>2021</v>
      </c>
      <c r="B79" s="6" t="s">
        <v>17</v>
      </c>
      <c r="C79" s="6">
        <v>9.07</v>
      </c>
      <c r="D79" s="3">
        <v>6932.7</v>
      </c>
      <c r="E79" s="14">
        <f t="shared" si="22"/>
        <v>62879.589</v>
      </c>
      <c r="F79" s="6">
        <f>20070.12+13885.28+3589.92+12744.75+8490.01</f>
        <v>58780.08</v>
      </c>
      <c r="G79" s="15">
        <f>F79/E79*100%</f>
        <v>0.9348038200440528</v>
      </c>
      <c r="H79" s="14">
        <f>H78+E79</f>
        <v>3476330.782000002</v>
      </c>
      <c r="I79" s="6">
        <f>I78+F79</f>
        <v>3365130.749999999</v>
      </c>
      <c r="J79" s="6" t="s">
        <v>29</v>
      </c>
      <c r="K79" s="14">
        <f t="shared" si="20"/>
        <v>3476330.7860000017</v>
      </c>
      <c r="L79" s="6">
        <v>3356640.74</v>
      </c>
      <c r="M79" s="19">
        <f t="shared" si="21"/>
        <v>-8490.009999998845</v>
      </c>
    </row>
    <row r="80" spans="1:13" ht="15">
      <c r="A80" s="6">
        <v>2021</v>
      </c>
      <c r="B80" s="6" t="s">
        <v>18</v>
      </c>
      <c r="C80" s="6">
        <v>9.07</v>
      </c>
      <c r="D80" s="3">
        <v>6932.7</v>
      </c>
      <c r="E80" s="14">
        <f t="shared" si="22"/>
        <v>62879.589</v>
      </c>
      <c r="F80" s="6">
        <f>6996.62+17820.35+8208.37+17004.5+27005.55</f>
        <v>77035.39</v>
      </c>
      <c r="G80" s="15">
        <f aca="true" t="shared" si="23" ref="G80:G85">F80/E80*100%</f>
        <v>1.225125533183749</v>
      </c>
      <c r="H80" s="14">
        <f>H79+E80</f>
        <v>3539210.371000002</v>
      </c>
      <c r="I80" s="6">
        <f>I79+F80</f>
        <v>3442166.139999999</v>
      </c>
      <c r="J80" s="6" t="s">
        <v>29</v>
      </c>
      <c r="K80" s="14">
        <f t="shared" si="20"/>
        <v>3539210.375000002</v>
      </c>
      <c r="L80" s="6">
        <v>3415160.59</v>
      </c>
      <c r="M80" s="19">
        <f t="shared" si="21"/>
        <v>-27005.549999999348</v>
      </c>
    </row>
    <row r="81" spans="1:13" ht="15">
      <c r="A81" s="6">
        <v>2021</v>
      </c>
      <c r="B81" s="6" t="s">
        <v>19</v>
      </c>
      <c r="C81" s="6">
        <v>9.07</v>
      </c>
      <c r="D81" s="3">
        <v>6932.7</v>
      </c>
      <c r="E81" s="14">
        <f t="shared" si="22"/>
        <v>62879.589</v>
      </c>
      <c r="F81" s="6">
        <f>14620.89+12571.05+4448.84+20788.48</f>
        <v>52429.259999999995</v>
      </c>
      <c r="G81" s="15">
        <f t="shared" si="23"/>
        <v>0.8338041140822341</v>
      </c>
      <c r="H81" s="14">
        <f>H80+E81</f>
        <v>3602089.9600000023</v>
      </c>
      <c r="I81" s="6">
        <f>I80+F81</f>
        <v>3494595.399999999</v>
      </c>
      <c r="J81" s="6" t="s">
        <v>29</v>
      </c>
      <c r="K81" s="14">
        <f t="shared" si="20"/>
        <v>3602089.964000002</v>
      </c>
      <c r="L81" s="6">
        <v>3492039.93</v>
      </c>
      <c r="M81" s="19">
        <f t="shared" si="21"/>
        <v>-2555.469999998808</v>
      </c>
    </row>
    <row r="82" spans="1:13" ht="15">
      <c r="A82" s="6">
        <v>2021</v>
      </c>
      <c r="B82" s="6" t="s">
        <v>20</v>
      </c>
      <c r="C82" s="6">
        <v>9.07</v>
      </c>
      <c r="D82" s="3">
        <v>6932.7</v>
      </c>
      <c r="E82" s="14">
        <f t="shared" si="22"/>
        <v>62879.589</v>
      </c>
      <c r="F82" s="6">
        <f>8904.06+14984.6+13213.68+3704.2+19098.31</f>
        <v>59904.84999999999</v>
      </c>
      <c r="G82" s="15">
        <f t="shared" si="23"/>
        <v>0.9526915005758068</v>
      </c>
      <c r="H82" s="14">
        <f>H81+E82</f>
        <v>3664969.5490000024</v>
      </c>
      <c r="I82" s="6">
        <f>I81+F82</f>
        <v>3554500.249999999</v>
      </c>
      <c r="J82" s="6" t="s">
        <v>29</v>
      </c>
      <c r="K82" s="14">
        <f t="shared" si="20"/>
        <v>3664969.553000002</v>
      </c>
      <c r="L82" s="6">
        <v>3535401.94</v>
      </c>
      <c r="M82" s="19">
        <f t="shared" si="21"/>
        <v>-19098.309999999125</v>
      </c>
    </row>
    <row r="83" spans="1:13" ht="15">
      <c r="A83" s="6">
        <v>2021</v>
      </c>
      <c r="B83" s="6" t="s">
        <v>21</v>
      </c>
      <c r="C83" s="6">
        <v>9.07</v>
      </c>
      <c r="D83" s="3">
        <v>6932.7</v>
      </c>
      <c r="E83" s="14">
        <f t="shared" si="22"/>
        <v>62879.589</v>
      </c>
      <c r="F83" s="6">
        <f>73838.18</f>
        <v>73838.18</v>
      </c>
      <c r="G83" s="15">
        <f t="shared" si="23"/>
        <v>1.174278985824796</v>
      </c>
      <c r="H83" s="14">
        <f>H82+E83</f>
        <v>3727849.1380000026</v>
      </c>
      <c r="I83" s="6">
        <f>I82+F83</f>
        <v>3628338.4299999992</v>
      </c>
      <c r="J83" s="6" t="s">
        <v>29</v>
      </c>
      <c r="K83" s="14">
        <f>K82+E83</f>
        <v>3727849.1420000023</v>
      </c>
      <c r="L83" s="6">
        <v>3600184.14</v>
      </c>
      <c r="M83" s="19">
        <f t="shared" si="21"/>
        <v>-28154.289999999106</v>
      </c>
    </row>
    <row r="84" spans="1:13" ht="15">
      <c r="A84" s="6">
        <v>2021</v>
      </c>
      <c r="B84" s="6" t="s">
        <v>22</v>
      </c>
      <c r="C84" s="6">
        <v>9.07</v>
      </c>
      <c r="D84" s="3">
        <v>6932.7</v>
      </c>
      <c r="E84" s="14">
        <f t="shared" si="22"/>
        <v>62879.589</v>
      </c>
      <c r="F84" s="6">
        <f>44494.66</f>
        <v>44494.66</v>
      </c>
      <c r="G84" s="15">
        <f t="shared" si="23"/>
        <v>0.7076169025214208</v>
      </c>
      <c r="H84" s="14">
        <f>H83+E84</f>
        <v>3790728.7270000027</v>
      </c>
      <c r="I84" s="6">
        <f>I83+F84</f>
        <v>3672833.0899999994</v>
      </c>
      <c r="J84" s="6" t="s">
        <v>29</v>
      </c>
      <c r="K84" s="14">
        <f>K83+E84</f>
        <v>3790728.7310000025</v>
      </c>
      <c r="L84" s="6">
        <v>3669269.47</v>
      </c>
      <c r="M84" s="19">
        <f t="shared" si="21"/>
        <v>-3563.6199999991804</v>
      </c>
    </row>
    <row r="85" spans="1:13" ht="15">
      <c r="A85" s="6">
        <v>2021</v>
      </c>
      <c r="B85" s="6" t="s">
        <v>23</v>
      </c>
      <c r="C85" s="6">
        <v>9.07</v>
      </c>
      <c r="D85" s="3">
        <v>6932.7</v>
      </c>
      <c r="E85" s="14">
        <f t="shared" si="22"/>
        <v>62879.589</v>
      </c>
      <c r="F85" s="6">
        <f>19518.69+18248.63+6033.83+33640.72+17463.43</f>
        <v>94905.29999999999</v>
      </c>
      <c r="G85" s="15">
        <f t="shared" si="23"/>
        <v>1.5093180714015162</v>
      </c>
      <c r="H85" s="14">
        <f>H84+E85</f>
        <v>3853608.316000003</v>
      </c>
      <c r="I85" s="6">
        <f>I84+F85</f>
        <v>3767738.389999999</v>
      </c>
      <c r="J85" s="6" t="s">
        <v>29</v>
      </c>
      <c r="K85" s="14">
        <f>K84+E85</f>
        <v>3853608.3200000026</v>
      </c>
      <c r="L85" s="6">
        <v>3763645.99</v>
      </c>
      <c r="M85" s="19">
        <f t="shared" si="21"/>
        <v>-4092.3999999989755</v>
      </c>
    </row>
    <row r="86" spans="1:13" ht="15">
      <c r="A86" s="7"/>
      <c r="B86" s="7" t="s">
        <v>30</v>
      </c>
      <c r="C86" s="7"/>
      <c r="D86" s="7"/>
      <c r="E86" s="16">
        <f>SUM(E74:E85)</f>
        <v>754555.0680000001</v>
      </c>
      <c r="F86" s="7">
        <f>SUM(F74:F85)</f>
        <v>744241.0900000001</v>
      </c>
      <c r="G86" s="17">
        <f>F86/E86*100%</f>
        <v>0.986331046682467</v>
      </c>
      <c r="H86" s="7"/>
      <c r="I86" s="7"/>
      <c r="J86" s="7"/>
      <c r="K86" s="7"/>
      <c r="L86" s="7"/>
      <c r="M86" s="13"/>
    </row>
    <row r="88" spans="1:12" ht="15">
      <c r="A88" s="21" t="s">
        <v>35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1:13" ht="15">
      <c r="A89" s="6">
        <v>2022</v>
      </c>
      <c r="B89" s="6" t="s">
        <v>25</v>
      </c>
      <c r="C89" s="6">
        <v>12</v>
      </c>
      <c r="D89" s="3">
        <v>6968.2</v>
      </c>
      <c r="E89" s="14">
        <f>C89*D89</f>
        <v>83618.4</v>
      </c>
      <c r="F89" s="6">
        <f>4164.96+10535.28+14282.54+30740.63</f>
        <v>59723.41</v>
      </c>
      <c r="G89" s="15">
        <f>F89/E89*100%</f>
        <v>0.7142376558269473</v>
      </c>
      <c r="H89" s="14">
        <f>H85+E89</f>
        <v>3937226.716000003</v>
      </c>
      <c r="I89" s="6">
        <f>I85+F89</f>
        <v>3827461.7999999993</v>
      </c>
      <c r="J89" s="6" t="s">
        <v>29</v>
      </c>
      <c r="K89" s="14">
        <f>K85+E89</f>
        <v>3937226.7200000025</v>
      </c>
      <c r="L89" s="6">
        <v>3796721.17</v>
      </c>
      <c r="M89" s="19">
        <f>L89-I89</f>
        <v>-30740.629999999423</v>
      </c>
    </row>
    <row r="90" spans="1:13" ht="15">
      <c r="A90" s="6">
        <v>2022</v>
      </c>
      <c r="B90" s="6" t="s">
        <v>13</v>
      </c>
      <c r="C90" s="6">
        <v>12</v>
      </c>
      <c r="D90" s="3">
        <v>6968.2</v>
      </c>
      <c r="E90" s="14">
        <f>C90*D90</f>
        <v>83618.4</v>
      </c>
      <c r="F90" s="6">
        <f>19831.01+11365.56+5067+27086.93</f>
        <v>63350.5</v>
      </c>
      <c r="G90" s="15">
        <f aca="true" t="shared" si="24" ref="G90:G100">F90/E90*100%</f>
        <v>0.7576143528218671</v>
      </c>
      <c r="H90" s="14">
        <f aca="true" t="shared" si="25" ref="H90:H100">H89+E90</f>
        <v>4020845.1160000027</v>
      </c>
      <c r="I90" s="6">
        <f aca="true" t="shared" si="26" ref="I90:I100">I89+F90</f>
        <v>3890812.2999999993</v>
      </c>
      <c r="J90" s="6" t="s">
        <v>29</v>
      </c>
      <c r="K90" s="14">
        <f aca="true" t="shared" si="27" ref="K90:K100">K89+E90</f>
        <v>4020845.1200000024</v>
      </c>
      <c r="L90" s="6">
        <v>3863725.37</v>
      </c>
      <c r="M90" s="19">
        <f aca="true" t="shared" si="28" ref="M90:M100">L90-I90</f>
        <v>-27086.929999999236</v>
      </c>
    </row>
    <row r="91" spans="1:13" ht="15">
      <c r="A91" s="6">
        <v>2022</v>
      </c>
      <c r="B91" s="6" t="s">
        <v>14</v>
      </c>
      <c r="C91" s="6">
        <v>12</v>
      </c>
      <c r="D91" s="3">
        <v>6968.2</v>
      </c>
      <c r="E91" s="14">
        <f aca="true" t="shared" si="29" ref="E91:E100">C91*D91</f>
        <v>83618.4</v>
      </c>
      <c r="F91" s="6">
        <f>24826.26+14481.1+8409.6+17907.6+19761.39</f>
        <v>85385.95</v>
      </c>
      <c r="G91" s="15">
        <f t="shared" si="24"/>
        <v>1.0211382901370991</v>
      </c>
      <c r="H91" s="14">
        <f t="shared" si="25"/>
        <v>4104463.5160000026</v>
      </c>
      <c r="I91" s="6">
        <f t="shared" si="26"/>
        <v>3976198.2499999995</v>
      </c>
      <c r="J91" s="6" t="s">
        <v>29</v>
      </c>
      <c r="K91" s="14">
        <f t="shared" si="27"/>
        <v>4104463.5200000023</v>
      </c>
      <c r="L91" s="6">
        <v>3956436.86</v>
      </c>
      <c r="M91" s="19">
        <f t="shared" si="28"/>
        <v>-19761.389999999665</v>
      </c>
    </row>
    <row r="92" spans="1:13" ht="15">
      <c r="A92" s="6">
        <v>2022</v>
      </c>
      <c r="B92" s="6" t="s">
        <v>15</v>
      </c>
      <c r="C92" s="6">
        <v>12</v>
      </c>
      <c r="D92" s="3">
        <v>6968.2</v>
      </c>
      <c r="E92" s="14">
        <f t="shared" si="29"/>
        <v>83618.4</v>
      </c>
      <c r="F92" s="6">
        <f>7442.4+21606.89+7870.8+14929.2+31077.6</f>
        <v>82926.89000000001</v>
      </c>
      <c r="G92" s="15">
        <f t="shared" si="24"/>
        <v>0.9917301694363923</v>
      </c>
      <c r="H92" s="14">
        <f t="shared" si="25"/>
        <v>4188081.9160000025</v>
      </c>
      <c r="I92" s="6">
        <f t="shared" si="26"/>
        <v>4059125.1399999997</v>
      </c>
      <c r="J92" s="6" t="s">
        <v>29</v>
      </c>
      <c r="K92" s="14">
        <f t="shared" si="27"/>
        <v>4188081.9200000023</v>
      </c>
      <c r="L92" s="6">
        <v>4057131.54</v>
      </c>
      <c r="M92" s="19">
        <f t="shared" si="28"/>
        <v>-1993.5999999996275</v>
      </c>
    </row>
    <row r="93" spans="1:13" ht="15">
      <c r="A93" s="6">
        <v>2022</v>
      </c>
      <c r="B93" s="6" t="s">
        <v>16</v>
      </c>
      <c r="C93" s="6">
        <v>12</v>
      </c>
      <c r="D93" s="3">
        <v>6968.2</v>
      </c>
      <c r="E93" s="14">
        <f t="shared" si="29"/>
        <v>83618.4</v>
      </c>
      <c r="F93" s="6">
        <f>16750.3+12211.2+15246+33552.62</f>
        <v>77760.12</v>
      </c>
      <c r="G93" s="15">
        <f t="shared" si="24"/>
        <v>0.929940300221004</v>
      </c>
      <c r="H93" s="14">
        <f t="shared" si="25"/>
        <v>4271700.316000002</v>
      </c>
      <c r="I93" s="6">
        <f t="shared" si="26"/>
        <v>4136885.26</v>
      </c>
      <c r="J93" s="6" t="s">
        <v>29</v>
      </c>
      <c r="K93" s="14">
        <f t="shared" si="27"/>
        <v>4271700.320000002</v>
      </c>
      <c r="L93" s="6">
        <v>4125306.46</v>
      </c>
      <c r="M93" s="19">
        <f t="shared" si="28"/>
        <v>-11578.799999999814</v>
      </c>
    </row>
    <row r="94" spans="1:13" ht="15">
      <c r="A94" s="6">
        <v>2022</v>
      </c>
      <c r="B94" s="6" t="s">
        <v>17</v>
      </c>
      <c r="C94" s="6">
        <v>12</v>
      </c>
      <c r="D94" s="3">
        <v>6968.2</v>
      </c>
      <c r="E94" s="14">
        <f t="shared" si="29"/>
        <v>83618.4</v>
      </c>
      <c r="F94" s="6">
        <v>93357.98</v>
      </c>
      <c r="G94" s="15">
        <f t="shared" si="24"/>
        <v>1.1164765171302011</v>
      </c>
      <c r="H94" s="14">
        <f t="shared" si="25"/>
        <v>4355318.716000003</v>
      </c>
      <c r="I94" s="6">
        <f t="shared" si="26"/>
        <v>4230243.24</v>
      </c>
      <c r="J94" s="6" t="s">
        <v>29</v>
      </c>
      <c r="K94" s="14">
        <f t="shared" si="27"/>
        <v>4355318.7200000025</v>
      </c>
      <c r="L94" s="6">
        <v>4206215.04</v>
      </c>
      <c r="M94" s="19">
        <f t="shared" si="28"/>
        <v>-24028.200000000186</v>
      </c>
    </row>
    <row r="95" spans="1:13" ht="15">
      <c r="A95" s="6">
        <v>2022</v>
      </c>
      <c r="B95" s="6" t="s">
        <v>18</v>
      </c>
      <c r="C95" s="6">
        <v>12</v>
      </c>
      <c r="D95" s="3">
        <v>6968.2</v>
      </c>
      <c r="E95" s="14">
        <f t="shared" si="29"/>
        <v>83618.4</v>
      </c>
      <c r="F95" s="6">
        <f>2544+25889+19011.6+4482+22363.2</f>
        <v>74289.8</v>
      </c>
      <c r="G95" s="15">
        <f t="shared" si="24"/>
        <v>0.8884384298192743</v>
      </c>
      <c r="H95" s="14">
        <f t="shared" si="25"/>
        <v>4438937.116000003</v>
      </c>
      <c r="I95" s="6">
        <f t="shared" si="26"/>
        <v>4304533.04</v>
      </c>
      <c r="J95" s="6" t="s">
        <v>29</v>
      </c>
      <c r="K95" s="14">
        <f t="shared" si="27"/>
        <v>4438937.120000003</v>
      </c>
      <c r="L95" s="6">
        <v>4282169.84</v>
      </c>
      <c r="M95" s="19">
        <f t="shared" si="28"/>
        <v>-22363.200000000186</v>
      </c>
    </row>
    <row r="96" spans="1:13" ht="15">
      <c r="A96" s="6">
        <v>2022</v>
      </c>
      <c r="B96" s="6" t="s">
        <v>19</v>
      </c>
      <c r="C96" s="6">
        <v>12</v>
      </c>
      <c r="D96" s="3">
        <v>6968.2</v>
      </c>
      <c r="E96" s="14">
        <f t="shared" si="29"/>
        <v>83618.4</v>
      </c>
      <c r="F96" s="6">
        <v>77063.4</v>
      </c>
      <c r="G96" s="15">
        <f t="shared" si="24"/>
        <v>0.921608162796705</v>
      </c>
      <c r="H96" s="14">
        <f t="shared" si="25"/>
        <v>4522555.516000004</v>
      </c>
      <c r="I96" s="6">
        <f t="shared" si="26"/>
        <v>4381596.44</v>
      </c>
      <c r="J96" s="6" t="s">
        <v>29</v>
      </c>
      <c r="K96" s="14">
        <f t="shared" si="27"/>
        <v>4522555.520000003</v>
      </c>
      <c r="L96" s="6">
        <v>4365261.44</v>
      </c>
      <c r="M96" s="19">
        <f t="shared" si="28"/>
        <v>-16335</v>
      </c>
    </row>
    <row r="97" spans="1:13" ht="15">
      <c r="A97" s="6">
        <v>2022</v>
      </c>
      <c r="B97" s="6" t="s">
        <v>20</v>
      </c>
      <c r="C97" s="6">
        <v>12</v>
      </c>
      <c r="D97" s="3">
        <v>6968.2</v>
      </c>
      <c r="E97" s="14">
        <f t="shared" si="29"/>
        <v>83618.4</v>
      </c>
      <c r="F97" s="6">
        <f>13415.8+24654+10654.8+10023.6+24342.6</f>
        <v>83090.8</v>
      </c>
      <c r="G97" s="15">
        <f t="shared" si="24"/>
        <v>0.9936903839346365</v>
      </c>
      <c r="H97" s="14">
        <f t="shared" si="25"/>
        <v>4606173.916000004</v>
      </c>
      <c r="I97" s="6">
        <f t="shared" si="26"/>
        <v>4464687.24</v>
      </c>
      <c r="J97" s="6" t="s">
        <v>29</v>
      </c>
      <c r="K97" s="14">
        <f t="shared" si="27"/>
        <v>4606173.920000004</v>
      </c>
      <c r="L97" s="6">
        <v>4440344.64</v>
      </c>
      <c r="M97" s="19">
        <f t="shared" si="28"/>
        <v>-24342.60000000056</v>
      </c>
    </row>
    <row r="98" spans="1:13" ht="15">
      <c r="A98" s="6">
        <v>2022</v>
      </c>
      <c r="B98" s="6" t="s">
        <v>21</v>
      </c>
      <c r="C98" s="6">
        <v>12</v>
      </c>
      <c r="D98" s="3">
        <v>6968.2</v>
      </c>
      <c r="E98" s="14">
        <f t="shared" si="29"/>
        <v>83618.4</v>
      </c>
      <c r="F98" s="6">
        <f>21304.8+25657.4+11851.2+32730</f>
        <v>91543.4</v>
      </c>
      <c r="G98" s="15">
        <f t="shared" si="24"/>
        <v>1.0947757909742353</v>
      </c>
      <c r="H98" s="14">
        <f t="shared" si="25"/>
        <v>4689792.316000004</v>
      </c>
      <c r="I98" s="6">
        <f t="shared" si="26"/>
        <v>4556230.640000001</v>
      </c>
      <c r="J98" s="6" t="s">
        <v>29</v>
      </c>
      <c r="K98" s="14">
        <f t="shared" si="27"/>
        <v>4689792.320000004</v>
      </c>
      <c r="L98" s="6">
        <v>4552847.84</v>
      </c>
      <c r="M98" s="19">
        <f t="shared" si="28"/>
        <v>-3382.800000000745</v>
      </c>
    </row>
    <row r="99" spans="1:13" ht="15">
      <c r="A99" s="6">
        <v>2022</v>
      </c>
      <c r="B99" s="6" t="s">
        <v>22</v>
      </c>
      <c r="C99" s="6">
        <v>12</v>
      </c>
      <c r="D99" s="3">
        <v>6968.2</v>
      </c>
      <c r="E99" s="14">
        <f t="shared" si="29"/>
        <v>83618.4</v>
      </c>
      <c r="F99" s="6">
        <f>15130.8+25844+14424+15695.4+22607.4</f>
        <v>93701.6</v>
      </c>
      <c r="G99" s="15">
        <f t="shared" si="24"/>
        <v>1.1205858997541212</v>
      </c>
      <c r="H99" s="14">
        <f t="shared" si="25"/>
        <v>4773410.716000005</v>
      </c>
      <c r="I99" s="6">
        <f t="shared" si="26"/>
        <v>4649932.24</v>
      </c>
      <c r="J99" s="6" t="s">
        <v>29</v>
      </c>
      <c r="K99" s="14">
        <f t="shared" si="27"/>
        <v>4773410.720000004</v>
      </c>
      <c r="L99" s="6">
        <v>4627324.84</v>
      </c>
      <c r="M99" s="19">
        <f t="shared" si="28"/>
        <v>-22607.400000000373</v>
      </c>
    </row>
    <row r="100" spans="1:13" ht="15">
      <c r="A100" s="6">
        <v>2022</v>
      </c>
      <c r="B100" s="6" t="s">
        <v>23</v>
      </c>
      <c r="C100" s="6">
        <v>14</v>
      </c>
      <c r="D100" s="3">
        <v>6968.2</v>
      </c>
      <c r="E100" s="14">
        <f t="shared" si="29"/>
        <v>97554.8</v>
      </c>
      <c r="F100" s="6">
        <f>7904.4+17366.4+20074.4+35249.8+31348</f>
        <v>111943</v>
      </c>
      <c r="G100" s="15">
        <f t="shared" si="24"/>
        <v>1.1474883860148346</v>
      </c>
      <c r="H100" s="14">
        <f t="shared" si="25"/>
        <v>4870965.5160000045</v>
      </c>
      <c r="I100" s="6">
        <f t="shared" si="26"/>
        <v>4761875.24</v>
      </c>
      <c r="J100" s="6" t="s">
        <v>29</v>
      </c>
      <c r="K100" s="14">
        <f t="shared" si="27"/>
        <v>4870965.520000004</v>
      </c>
      <c r="L100" s="6">
        <v>4743089.04</v>
      </c>
      <c r="M100" s="19">
        <f t="shared" si="28"/>
        <v>-18786.200000000186</v>
      </c>
    </row>
    <row r="101" spans="1:13" ht="15">
      <c r="A101" s="7"/>
      <c r="B101" s="7" t="s">
        <v>30</v>
      </c>
      <c r="C101" s="7"/>
      <c r="D101" s="7"/>
      <c r="E101" s="16">
        <f>SUM(E89:E100)</f>
        <v>1017357.2000000002</v>
      </c>
      <c r="F101" s="7">
        <f>SUM(F89:F100)</f>
        <v>994136.8500000001</v>
      </c>
      <c r="G101" s="17">
        <f>F101/E101*100%</f>
        <v>0.9771758139619005</v>
      </c>
      <c r="H101" s="7"/>
      <c r="I101" s="7"/>
      <c r="J101" s="7"/>
      <c r="K101" s="7"/>
      <c r="L101" s="7"/>
      <c r="M101" s="13"/>
    </row>
    <row r="103" spans="1:12" ht="15">
      <c r="A103" s="21" t="s">
        <v>36</v>
      </c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1:13" ht="15">
      <c r="A104" s="6">
        <v>2023</v>
      </c>
      <c r="B104" s="6" t="s">
        <v>25</v>
      </c>
      <c r="C104" s="6">
        <v>14</v>
      </c>
      <c r="D104" s="3">
        <v>6968.2</v>
      </c>
      <c r="E104" s="14">
        <f>C104*D104</f>
        <v>97554.8</v>
      </c>
      <c r="F104" s="6">
        <f>5348+12484.7+6409.2+36176</f>
        <v>60417.9</v>
      </c>
      <c r="G104" s="15">
        <f>F104/E104*100%</f>
        <v>0.6193226781255253</v>
      </c>
      <c r="H104" s="14">
        <f>H100+E104</f>
        <v>4968520.316000004</v>
      </c>
      <c r="I104" s="6">
        <f>I100+F104</f>
        <v>4822293.140000001</v>
      </c>
      <c r="J104" s="6" t="s">
        <v>29</v>
      </c>
      <c r="K104" s="14">
        <f>K100+E104</f>
        <v>4968520.320000004</v>
      </c>
      <c r="L104" s="6">
        <v>4786117.14</v>
      </c>
      <c r="M104" s="19">
        <f>L104-I104</f>
        <v>-36176.00000000093</v>
      </c>
    </row>
    <row r="105" spans="1:13" ht="15">
      <c r="A105" s="6">
        <v>2023</v>
      </c>
      <c r="B105" s="6" t="s">
        <v>13</v>
      </c>
      <c r="C105" s="6">
        <v>14</v>
      </c>
      <c r="D105" s="3">
        <v>6968.2</v>
      </c>
      <c r="E105" s="14">
        <f>C105*D105</f>
        <v>97554.8</v>
      </c>
      <c r="F105" s="6">
        <f>14871.7+17120.6+19177.2+34938.5</f>
        <v>86108</v>
      </c>
      <c r="G105" s="15">
        <f aca="true" t="shared" si="30" ref="G105:G115">F105/E105*100%</f>
        <v>0.882662872559833</v>
      </c>
      <c r="H105" s="14">
        <f>H104+E105</f>
        <v>5066075.116000004</v>
      </c>
      <c r="I105" s="6">
        <f aca="true" t="shared" si="31" ref="I105:I115">I104+F105</f>
        <v>4908401.140000001</v>
      </c>
      <c r="J105" s="6" t="s">
        <v>29</v>
      </c>
      <c r="K105" s="14">
        <f aca="true" t="shared" si="32" ref="K105:K115">K104+E105</f>
        <v>5066075.120000004</v>
      </c>
      <c r="L105" s="6">
        <v>4883061.04</v>
      </c>
      <c r="M105" s="19">
        <f aca="true" t="shared" si="33" ref="M105:M115">L105-I105</f>
        <v>-25340.10000000056</v>
      </c>
    </row>
    <row r="106" spans="1:13" ht="15">
      <c r="A106" s="6">
        <v>2023</v>
      </c>
      <c r="B106" s="6" t="s">
        <v>14</v>
      </c>
      <c r="C106" s="6">
        <v>14</v>
      </c>
      <c r="D106" s="3">
        <v>6968.2</v>
      </c>
      <c r="E106" s="14">
        <f aca="true" t="shared" si="34" ref="E106:E115">C106*D106</f>
        <v>97554.8</v>
      </c>
      <c r="F106" s="6">
        <f>19917.8+26788.3+15283.8+14820.5+28152.5</f>
        <v>104962.9</v>
      </c>
      <c r="G106" s="15">
        <f t="shared" si="30"/>
        <v>1.075937831864757</v>
      </c>
      <c r="H106" s="14">
        <f aca="true" t="shared" si="35" ref="H106:H115">H105+E106</f>
        <v>5163629.916000004</v>
      </c>
      <c r="I106" s="6">
        <f t="shared" si="31"/>
        <v>5013364.040000001</v>
      </c>
      <c r="J106" s="6" t="s">
        <v>29</v>
      </c>
      <c r="K106" s="14">
        <f t="shared" si="32"/>
        <v>5163629.920000004</v>
      </c>
      <c r="L106" s="6">
        <v>4985211.54</v>
      </c>
      <c r="M106" s="19">
        <f t="shared" si="33"/>
        <v>-28152.50000000093</v>
      </c>
    </row>
    <row r="107" spans="1:13" ht="15">
      <c r="A107" s="6">
        <v>2023</v>
      </c>
      <c r="B107" s="6" t="s">
        <v>15</v>
      </c>
      <c r="C107" s="6">
        <v>14</v>
      </c>
      <c r="D107" s="3">
        <v>6968.2</v>
      </c>
      <c r="E107" s="14">
        <f t="shared" si="34"/>
        <v>97554.8</v>
      </c>
      <c r="F107" s="6">
        <v>83502.04</v>
      </c>
      <c r="G107" s="15">
        <f t="shared" si="30"/>
        <v>0.8559500916408008</v>
      </c>
      <c r="H107" s="14">
        <f t="shared" si="35"/>
        <v>5261184.716000004</v>
      </c>
      <c r="I107" s="6">
        <f t="shared" si="31"/>
        <v>5096866.080000001</v>
      </c>
      <c r="J107" s="6" t="s">
        <v>29</v>
      </c>
      <c r="K107" s="14">
        <f t="shared" si="32"/>
        <v>5261184.720000003</v>
      </c>
      <c r="L107" s="6">
        <v>5070295.64</v>
      </c>
      <c r="M107" s="19">
        <f t="shared" si="33"/>
        <v>-26570.44000000134</v>
      </c>
    </row>
    <row r="108" spans="1:13" ht="15">
      <c r="A108" s="6">
        <v>2023</v>
      </c>
      <c r="B108" s="6" t="s">
        <v>16</v>
      </c>
      <c r="C108" s="6">
        <v>14</v>
      </c>
      <c r="D108" s="3">
        <v>6968.2</v>
      </c>
      <c r="E108" s="14">
        <f t="shared" si="34"/>
        <v>97554.8</v>
      </c>
      <c r="F108" s="6">
        <v>103171.1</v>
      </c>
      <c r="G108" s="15">
        <f t="shared" si="30"/>
        <v>1.0575707192265271</v>
      </c>
      <c r="H108" s="14">
        <f t="shared" si="35"/>
        <v>5358739.516000004</v>
      </c>
      <c r="I108" s="6">
        <f t="shared" si="31"/>
        <v>5200037.180000001</v>
      </c>
      <c r="J108" s="6" t="s">
        <v>29</v>
      </c>
      <c r="K108" s="14">
        <f t="shared" si="32"/>
        <v>5358739.520000003</v>
      </c>
      <c r="L108" s="6">
        <f>26570.44+28100.4+19779+22327.2+21621.7+L107</f>
        <v>5188694.38</v>
      </c>
      <c r="M108" s="19">
        <f t="shared" si="33"/>
        <v>-11342.800000000745</v>
      </c>
    </row>
    <row r="109" spans="1:13" ht="15">
      <c r="A109" s="6">
        <v>2023</v>
      </c>
      <c r="B109" s="6" t="s">
        <v>17</v>
      </c>
      <c r="C109" s="6">
        <v>14</v>
      </c>
      <c r="D109" s="3">
        <v>6968.2</v>
      </c>
      <c r="E109" s="14">
        <f t="shared" si="34"/>
        <v>97554.8</v>
      </c>
      <c r="F109" s="6">
        <f>3792.6+35704.2+19388.6+17635.5+25547.9</f>
        <v>102068.79999999999</v>
      </c>
      <c r="G109" s="15">
        <f t="shared" si="30"/>
        <v>1.0462714289814543</v>
      </c>
      <c r="H109" s="14">
        <f t="shared" si="35"/>
        <v>5456294.316000003</v>
      </c>
      <c r="I109" s="6">
        <f t="shared" si="31"/>
        <v>5302105.98</v>
      </c>
      <c r="J109" s="6" t="s">
        <v>29</v>
      </c>
      <c r="K109" s="14">
        <f t="shared" si="32"/>
        <v>5456294.320000003</v>
      </c>
      <c r="L109" s="6">
        <f>5276538.08</f>
        <v>5276538.08</v>
      </c>
      <c r="M109" s="19">
        <f t="shared" si="33"/>
        <v>-25567.900000000373</v>
      </c>
    </row>
    <row r="110" spans="1:13" ht="15">
      <c r="A110" s="6">
        <v>2023</v>
      </c>
      <c r="B110" s="6" t="s">
        <v>18</v>
      </c>
      <c r="C110" s="6">
        <v>14</v>
      </c>
      <c r="D110" s="3">
        <v>6968.2</v>
      </c>
      <c r="E110" s="14">
        <f t="shared" si="34"/>
        <v>97554.8</v>
      </c>
      <c r="F110" s="6">
        <f>32264.4+15411.2+13175.4+34127.8</f>
        <v>94978.80000000002</v>
      </c>
      <c r="G110" s="15">
        <f t="shared" si="30"/>
        <v>0.9735943285209955</v>
      </c>
      <c r="H110" s="14">
        <f t="shared" si="35"/>
        <v>5553849.116000003</v>
      </c>
      <c r="I110" s="6">
        <f t="shared" si="31"/>
        <v>5397084.78</v>
      </c>
      <c r="J110" s="6" t="s">
        <v>29</v>
      </c>
      <c r="K110" s="14">
        <f t="shared" si="32"/>
        <v>5553849.120000003</v>
      </c>
      <c r="L110" s="6">
        <v>5393332.08</v>
      </c>
      <c r="M110" s="19">
        <f t="shared" si="33"/>
        <v>-3752.7000000001863</v>
      </c>
    </row>
    <row r="111" spans="1:13" ht="15">
      <c r="A111" s="6">
        <v>2023</v>
      </c>
      <c r="B111" s="6" t="s">
        <v>19</v>
      </c>
      <c r="C111" s="6">
        <v>14</v>
      </c>
      <c r="D111" s="3">
        <v>6968.2</v>
      </c>
      <c r="E111" s="14">
        <f t="shared" si="34"/>
        <v>97554.8</v>
      </c>
      <c r="F111" s="6">
        <f>19073.6+20305.6+10927+33264+10517.5</f>
        <v>94087.7</v>
      </c>
      <c r="G111" s="15">
        <f t="shared" si="30"/>
        <v>0.9644599753164375</v>
      </c>
      <c r="H111" s="14">
        <f t="shared" si="35"/>
        <v>5651403.916000003</v>
      </c>
      <c r="I111" s="6">
        <f t="shared" si="31"/>
        <v>5491172.48</v>
      </c>
      <c r="J111" s="6" t="s">
        <v>29</v>
      </c>
      <c r="K111" s="14">
        <f t="shared" si="32"/>
        <v>5651403.920000003</v>
      </c>
      <c r="L111" s="6">
        <v>5480654.98</v>
      </c>
      <c r="M111" s="19">
        <f t="shared" si="33"/>
        <v>-10517.5</v>
      </c>
    </row>
    <row r="112" spans="1:13" ht="15">
      <c r="A112" s="6">
        <v>2023</v>
      </c>
      <c r="B112" s="6" t="s">
        <v>20</v>
      </c>
      <c r="C112" s="6">
        <v>14</v>
      </c>
      <c r="D112" s="3">
        <v>6968.2</v>
      </c>
      <c r="E112" s="14">
        <f t="shared" si="34"/>
        <v>97554.8</v>
      </c>
      <c r="F112" s="6">
        <v>98350.5</v>
      </c>
      <c r="G112" s="15">
        <f t="shared" si="30"/>
        <v>1.0081564413027344</v>
      </c>
      <c r="H112" s="14">
        <f t="shared" si="35"/>
        <v>5748958.716000003</v>
      </c>
      <c r="I112" s="6">
        <f t="shared" si="31"/>
        <v>5589522.98</v>
      </c>
      <c r="J112" s="6" t="s">
        <v>29</v>
      </c>
      <c r="K112" s="14">
        <f t="shared" si="32"/>
        <v>5748958.7200000025</v>
      </c>
      <c r="L112" s="6">
        <v>5565018.08</v>
      </c>
      <c r="M112" s="19">
        <f t="shared" si="33"/>
        <v>-24504.900000000373</v>
      </c>
    </row>
    <row r="113" spans="1:13" ht="15">
      <c r="A113" s="6">
        <v>2023</v>
      </c>
      <c r="B113" s="6" t="s">
        <v>21</v>
      </c>
      <c r="C113" s="6">
        <v>14</v>
      </c>
      <c r="D113" s="3">
        <v>6968.2</v>
      </c>
      <c r="E113" s="14">
        <f t="shared" si="34"/>
        <v>97554.8</v>
      </c>
      <c r="F113" s="6">
        <v>107535.4</v>
      </c>
      <c r="G113" s="15">
        <f t="shared" si="30"/>
        <v>1.1023076260727303</v>
      </c>
      <c r="H113" s="14">
        <f t="shared" si="35"/>
        <v>5846513.516000003</v>
      </c>
      <c r="I113" s="6">
        <f t="shared" si="31"/>
        <v>5697058.380000001</v>
      </c>
      <c r="J113" s="6" t="s">
        <v>29</v>
      </c>
      <c r="K113" s="14">
        <f t="shared" si="32"/>
        <v>5846513.520000002</v>
      </c>
      <c r="L113" s="6">
        <v>5678723.18</v>
      </c>
      <c r="M113" s="19">
        <f t="shared" si="33"/>
        <v>-18335.200000001118</v>
      </c>
    </row>
    <row r="114" spans="1:13" ht="15">
      <c r="A114" s="6">
        <v>2023</v>
      </c>
      <c r="B114" s="6" t="s">
        <v>22</v>
      </c>
      <c r="C114" s="6">
        <v>14</v>
      </c>
      <c r="D114" s="3">
        <v>6968.2</v>
      </c>
      <c r="E114" s="14">
        <f t="shared" si="34"/>
        <v>97554.8</v>
      </c>
      <c r="F114" s="6">
        <v>102811.5</v>
      </c>
      <c r="G114" s="15">
        <f t="shared" si="30"/>
        <v>1.0538845858942871</v>
      </c>
      <c r="H114" s="14">
        <f t="shared" si="35"/>
        <v>5944068.316000002</v>
      </c>
      <c r="I114" s="6">
        <f t="shared" si="31"/>
        <v>5799869.880000001</v>
      </c>
      <c r="J114" s="6" t="s">
        <v>29</v>
      </c>
      <c r="K114" s="14">
        <f t="shared" si="32"/>
        <v>5944068.320000002</v>
      </c>
      <c r="L114" s="6">
        <v>5773730.48</v>
      </c>
      <c r="M114" s="19">
        <f t="shared" si="33"/>
        <v>-26139.400000000373</v>
      </c>
    </row>
    <row r="115" spans="1:13" ht="15">
      <c r="A115" s="6">
        <v>2023</v>
      </c>
      <c r="B115" s="6" t="s">
        <v>23</v>
      </c>
      <c r="C115" s="6">
        <v>14</v>
      </c>
      <c r="D115" s="3">
        <v>6968.2</v>
      </c>
      <c r="E115" s="14">
        <f t="shared" si="34"/>
        <v>97554.8</v>
      </c>
      <c r="F115" s="6">
        <v>114143.4</v>
      </c>
      <c r="G115" s="15">
        <f t="shared" si="30"/>
        <v>1.1700439137797423</v>
      </c>
      <c r="H115" s="14">
        <f t="shared" si="35"/>
        <v>6041623.116000002</v>
      </c>
      <c r="I115" s="6">
        <f t="shared" si="31"/>
        <v>5914013.280000001</v>
      </c>
      <c r="J115" s="6" t="s">
        <v>29</v>
      </c>
      <c r="K115" s="14">
        <f t="shared" si="32"/>
        <v>6041623.120000002</v>
      </c>
      <c r="L115" s="6">
        <v>5907471.08</v>
      </c>
      <c r="M115" s="19">
        <f t="shared" si="33"/>
        <v>-6542.200000001118</v>
      </c>
    </row>
    <row r="116" spans="1:13" ht="15">
      <c r="A116" s="7"/>
      <c r="B116" s="7" t="s">
        <v>30</v>
      </c>
      <c r="C116" s="7"/>
      <c r="D116" s="7"/>
      <c r="E116" s="16">
        <f>SUM(E104:E115)</f>
        <v>1170657.6000000003</v>
      </c>
      <c r="F116" s="16">
        <f>SUM(F104:F115)</f>
        <v>1152138.04</v>
      </c>
      <c r="G116" s="17">
        <f>F116/E116*100%</f>
        <v>0.9841802077738185</v>
      </c>
      <c r="H116" s="7"/>
      <c r="I116" s="7"/>
      <c r="J116" s="7"/>
      <c r="K116" s="7"/>
      <c r="L116" s="7"/>
      <c r="M116" s="13"/>
    </row>
    <row r="118" spans="1:12" ht="15">
      <c r="A118" s="21" t="s">
        <v>37</v>
      </c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1:13" ht="15">
      <c r="A119" s="6">
        <v>2023</v>
      </c>
      <c r="B119" s="6" t="s">
        <v>25</v>
      </c>
      <c r="C119" s="6">
        <v>14</v>
      </c>
      <c r="D119" s="3">
        <v>6968.2</v>
      </c>
      <c r="E119" s="14">
        <f>C119*D119</f>
        <v>97554.8</v>
      </c>
      <c r="F119" s="6">
        <f>67655.43</f>
        <v>67655.43</v>
      </c>
      <c r="G119" s="15">
        <f>F119/E119*100%</f>
        <v>0.6935120568131962</v>
      </c>
      <c r="H119" s="14">
        <f>H115+E119</f>
        <v>6139177.916000002</v>
      </c>
      <c r="I119" s="6">
        <f>I115+F119</f>
        <v>5981668.710000001</v>
      </c>
      <c r="J119" s="6" t="s">
        <v>29</v>
      </c>
      <c r="K119" s="14">
        <f>K115+E119</f>
        <v>6139177.920000002</v>
      </c>
      <c r="L119" s="6">
        <v>5960635.28</v>
      </c>
      <c r="M119" s="19">
        <f>L119-I119</f>
        <v>-21033.430000000633</v>
      </c>
    </row>
    <row r="120" spans="1:13" ht="15">
      <c r="A120" s="6">
        <v>2023</v>
      </c>
      <c r="B120" s="6" t="s">
        <v>13</v>
      </c>
      <c r="C120" s="6">
        <v>14</v>
      </c>
      <c r="D120" s="3">
        <v>6968.2</v>
      </c>
      <c r="E120" s="14">
        <f>C120*D120</f>
        <v>97554.8</v>
      </c>
      <c r="F120" s="6">
        <v>95538.8</v>
      </c>
      <c r="G120" s="15">
        <f aca="true" t="shared" si="36" ref="G120:G130">F120/E120*100%</f>
        <v>0.9793346918859964</v>
      </c>
      <c r="H120" s="14">
        <f>H119+E120</f>
        <v>6236732.716000002</v>
      </c>
      <c r="I120" s="6">
        <f aca="true" t="shared" si="37" ref="I120:I130">I119+F120</f>
        <v>6077207.510000001</v>
      </c>
      <c r="J120" s="6" t="s">
        <v>29</v>
      </c>
      <c r="K120" s="14">
        <f aca="true" t="shared" si="38" ref="K120:K130">K119+E120</f>
        <v>6236732.720000002</v>
      </c>
      <c r="L120" s="6">
        <v>6060585.91</v>
      </c>
      <c r="M120" s="19">
        <f aca="true" t="shared" si="39" ref="M120:M130">L120-I120</f>
        <v>-16621.60000000056</v>
      </c>
    </row>
    <row r="121" spans="1:13" ht="15">
      <c r="A121" s="6">
        <v>2023</v>
      </c>
      <c r="B121" s="6" t="s">
        <v>14</v>
      </c>
      <c r="C121" s="6">
        <v>14</v>
      </c>
      <c r="D121" s="3">
        <v>6968.2</v>
      </c>
      <c r="E121" s="14">
        <f aca="true" t="shared" si="40" ref="E121:E130">C121*D121</f>
        <v>97554.8</v>
      </c>
      <c r="F121" s="6">
        <v>94825.5</v>
      </c>
      <c r="G121" s="15">
        <f t="shared" si="36"/>
        <v>0.9720229040498263</v>
      </c>
      <c r="H121" s="14">
        <f aca="true" t="shared" si="41" ref="H121:H130">H120+E121</f>
        <v>6334287.516000002</v>
      </c>
      <c r="I121" s="6">
        <f t="shared" si="37"/>
        <v>6172033.010000001</v>
      </c>
      <c r="J121" s="6" t="s">
        <v>29</v>
      </c>
      <c r="K121" s="14">
        <f t="shared" si="38"/>
        <v>6334287.520000001</v>
      </c>
      <c r="L121" s="6">
        <f>6173533.01-29689.7</f>
        <v>6143843.31</v>
      </c>
      <c r="M121" s="19">
        <f t="shared" si="39"/>
        <v>-28189.700000001118</v>
      </c>
    </row>
    <row r="122" spans="1:13" ht="15">
      <c r="A122" s="6">
        <v>2023</v>
      </c>
      <c r="B122" s="6" t="s">
        <v>15</v>
      </c>
      <c r="C122" s="6">
        <v>14</v>
      </c>
      <c r="D122" s="3">
        <v>6968.2</v>
      </c>
      <c r="E122" s="14">
        <f t="shared" si="40"/>
        <v>97554.8</v>
      </c>
      <c r="F122" s="6"/>
      <c r="G122" s="15">
        <f t="shared" si="36"/>
        <v>0</v>
      </c>
      <c r="H122" s="14">
        <f t="shared" si="41"/>
        <v>6431842.3160000015</v>
      </c>
      <c r="I122" s="6">
        <f t="shared" si="37"/>
        <v>6172033.010000001</v>
      </c>
      <c r="J122" s="6" t="s">
        <v>29</v>
      </c>
      <c r="K122" s="14">
        <f t="shared" si="38"/>
        <v>6431842.320000001</v>
      </c>
      <c r="L122" s="6"/>
      <c r="M122" s="19">
        <f t="shared" si="39"/>
        <v>-6172033.010000001</v>
      </c>
    </row>
    <row r="123" spans="1:13" ht="15">
      <c r="A123" s="6">
        <v>2023</v>
      </c>
      <c r="B123" s="6" t="s">
        <v>16</v>
      </c>
      <c r="C123" s="6">
        <v>14</v>
      </c>
      <c r="D123" s="3">
        <v>6968.2</v>
      </c>
      <c r="E123" s="14">
        <f t="shared" si="40"/>
        <v>97554.8</v>
      </c>
      <c r="F123" s="6"/>
      <c r="G123" s="15">
        <f t="shared" si="36"/>
        <v>0</v>
      </c>
      <c r="H123" s="14">
        <f t="shared" si="41"/>
        <v>6529397.116000001</v>
      </c>
      <c r="I123" s="6">
        <f t="shared" si="37"/>
        <v>6172033.010000001</v>
      </c>
      <c r="J123" s="6" t="s">
        <v>29</v>
      </c>
      <c r="K123" s="14">
        <f t="shared" si="38"/>
        <v>6529397.120000001</v>
      </c>
      <c r="L123" s="6"/>
      <c r="M123" s="19">
        <f t="shared" si="39"/>
        <v>-6172033.010000001</v>
      </c>
    </row>
    <row r="124" spans="1:13" ht="15">
      <c r="A124" s="6">
        <v>2023</v>
      </c>
      <c r="B124" s="6" t="s">
        <v>17</v>
      </c>
      <c r="C124" s="6">
        <v>14</v>
      </c>
      <c r="D124" s="3">
        <v>6968.2</v>
      </c>
      <c r="E124" s="14">
        <f t="shared" si="40"/>
        <v>97554.8</v>
      </c>
      <c r="F124" s="6"/>
      <c r="G124" s="15">
        <f t="shared" si="36"/>
        <v>0</v>
      </c>
      <c r="H124" s="14">
        <f t="shared" si="41"/>
        <v>6626951.916000001</v>
      </c>
      <c r="I124" s="6">
        <f t="shared" si="37"/>
        <v>6172033.010000001</v>
      </c>
      <c r="J124" s="6" t="s">
        <v>29</v>
      </c>
      <c r="K124" s="14">
        <f t="shared" si="38"/>
        <v>6626951.920000001</v>
      </c>
      <c r="L124" s="6"/>
      <c r="M124" s="19">
        <f t="shared" si="39"/>
        <v>-6172033.010000001</v>
      </c>
    </row>
    <row r="125" spans="1:13" ht="15">
      <c r="A125" s="6">
        <v>2023</v>
      </c>
      <c r="B125" s="6" t="s">
        <v>18</v>
      </c>
      <c r="C125" s="6">
        <v>14</v>
      </c>
      <c r="D125" s="3">
        <v>6968.2</v>
      </c>
      <c r="E125" s="14">
        <f t="shared" si="40"/>
        <v>97554.8</v>
      </c>
      <c r="F125" s="6"/>
      <c r="G125" s="15">
        <f t="shared" si="36"/>
        <v>0</v>
      </c>
      <c r="H125" s="14">
        <f t="shared" si="41"/>
        <v>6724506.716000001</v>
      </c>
      <c r="I125" s="6">
        <f t="shared" si="37"/>
        <v>6172033.010000001</v>
      </c>
      <c r="J125" s="6" t="s">
        <v>29</v>
      </c>
      <c r="K125" s="14">
        <f t="shared" si="38"/>
        <v>6724506.720000001</v>
      </c>
      <c r="L125" s="6"/>
      <c r="M125" s="19">
        <f t="shared" si="39"/>
        <v>-6172033.010000001</v>
      </c>
    </row>
    <row r="126" spans="1:13" ht="15">
      <c r="A126" s="6">
        <v>2023</v>
      </c>
      <c r="B126" s="6" t="s">
        <v>19</v>
      </c>
      <c r="C126" s="6">
        <v>14</v>
      </c>
      <c r="D126" s="3">
        <v>6968.2</v>
      </c>
      <c r="E126" s="14">
        <f t="shared" si="40"/>
        <v>97554.8</v>
      </c>
      <c r="F126" s="6"/>
      <c r="G126" s="15">
        <f t="shared" si="36"/>
        <v>0</v>
      </c>
      <c r="H126" s="14">
        <f t="shared" si="41"/>
        <v>6822061.516000001</v>
      </c>
      <c r="I126" s="6">
        <f t="shared" si="37"/>
        <v>6172033.010000001</v>
      </c>
      <c r="J126" s="6" t="s">
        <v>29</v>
      </c>
      <c r="K126" s="14">
        <f t="shared" si="38"/>
        <v>6822061.5200000005</v>
      </c>
      <c r="L126" s="6"/>
      <c r="M126" s="19">
        <f t="shared" si="39"/>
        <v>-6172033.010000001</v>
      </c>
    </row>
    <row r="127" spans="1:13" ht="15">
      <c r="A127" s="6">
        <v>2023</v>
      </c>
      <c r="B127" s="6" t="s">
        <v>20</v>
      </c>
      <c r="C127" s="6">
        <v>14</v>
      </c>
      <c r="D127" s="3">
        <v>6968.2</v>
      </c>
      <c r="E127" s="14">
        <f t="shared" si="40"/>
        <v>97554.8</v>
      </c>
      <c r="F127" s="6"/>
      <c r="G127" s="15">
        <f t="shared" si="36"/>
        <v>0</v>
      </c>
      <c r="H127" s="14">
        <f t="shared" si="41"/>
        <v>6919616.316000001</v>
      </c>
      <c r="I127" s="6">
        <f t="shared" si="37"/>
        <v>6172033.010000001</v>
      </c>
      <c r="J127" s="6" t="s">
        <v>29</v>
      </c>
      <c r="K127" s="14">
        <f t="shared" si="38"/>
        <v>6919616.32</v>
      </c>
      <c r="L127" s="6"/>
      <c r="M127" s="19">
        <f t="shared" si="39"/>
        <v>-6172033.010000001</v>
      </c>
    </row>
    <row r="128" spans="1:13" ht="15">
      <c r="A128" s="6">
        <v>2023</v>
      </c>
      <c r="B128" s="6" t="s">
        <v>21</v>
      </c>
      <c r="C128" s="6">
        <v>14</v>
      </c>
      <c r="D128" s="3">
        <v>6968.2</v>
      </c>
      <c r="E128" s="14">
        <f t="shared" si="40"/>
        <v>97554.8</v>
      </c>
      <c r="F128" s="6"/>
      <c r="G128" s="15">
        <f t="shared" si="36"/>
        <v>0</v>
      </c>
      <c r="H128" s="14">
        <f t="shared" si="41"/>
        <v>7017171.116</v>
      </c>
      <c r="I128" s="6">
        <f t="shared" si="37"/>
        <v>6172033.010000001</v>
      </c>
      <c r="J128" s="6" t="s">
        <v>29</v>
      </c>
      <c r="K128" s="14">
        <f t="shared" si="38"/>
        <v>7017171.12</v>
      </c>
      <c r="L128" s="6"/>
      <c r="M128" s="19">
        <f t="shared" si="39"/>
        <v>-6172033.010000001</v>
      </c>
    </row>
    <row r="129" spans="1:13" ht="15">
      <c r="A129" s="6">
        <v>2023</v>
      </c>
      <c r="B129" s="6" t="s">
        <v>22</v>
      </c>
      <c r="C129" s="6">
        <v>14</v>
      </c>
      <c r="D129" s="3">
        <v>6968.2</v>
      </c>
      <c r="E129" s="14">
        <f t="shared" si="40"/>
        <v>97554.8</v>
      </c>
      <c r="F129" s="6"/>
      <c r="G129" s="15">
        <f t="shared" si="36"/>
        <v>0</v>
      </c>
      <c r="H129" s="14">
        <f t="shared" si="41"/>
        <v>7114725.916</v>
      </c>
      <c r="I129" s="6">
        <f t="shared" si="37"/>
        <v>6172033.010000001</v>
      </c>
      <c r="J129" s="6" t="s">
        <v>29</v>
      </c>
      <c r="K129" s="14">
        <f t="shared" si="38"/>
        <v>7114725.92</v>
      </c>
      <c r="L129" s="6"/>
      <c r="M129" s="19">
        <f t="shared" si="39"/>
        <v>-6172033.010000001</v>
      </c>
    </row>
    <row r="130" spans="1:13" ht="15">
      <c r="A130" s="6">
        <v>2023</v>
      </c>
      <c r="B130" s="6" t="s">
        <v>23</v>
      </c>
      <c r="C130" s="6">
        <v>14</v>
      </c>
      <c r="D130" s="3">
        <v>6968.2</v>
      </c>
      <c r="E130" s="14">
        <f t="shared" si="40"/>
        <v>97554.8</v>
      </c>
      <c r="F130" s="6"/>
      <c r="G130" s="15">
        <f t="shared" si="36"/>
        <v>0</v>
      </c>
      <c r="H130" s="14">
        <f t="shared" si="41"/>
        <v>7212280.716</v>
      </c>
      <c r="I130" s="6">
        <f t="shared" si="37"/>
        <v>6172033.010000001</v>
      </c>
      <c r="J130" s="6" t="s">
        <v>29</v>
      </c>
      <c r="K130" s="14">
        <f t="shared" si="38"/>
        <v>7212280.72</v>
      </c>
      <c r="L130" s="6"/>
      <c r="M130" s="19">
        <f t="shared" si="39"/>
        <v>-6172033.010000001</v>
      </c>
    </row>
    <row r="131" spans="1:13" ht="15">
      <c r="A131" s="7"/>
      <c r="B131" s="7" t="s">
        <v>30</v>
      </c>
      <c r="C131" s="7"/>
      <c r="D131" s="7"/>
      <c r="E131" s="16">
        <f>SUM(E119:E130)</f>
        <v>1170657.6000000003</v>
      </c>
      <c r="F131" s="16">
        <f>SUM(F119:F130)</f>
        <v>258019.72999999998</v>
      </c>
      <c r="G131" s="17">
        <f>F131/E131*100%</f>
        <v>0.2204058043957515</v>
      </c>
      <c r="H131" s="7"/>
      <c r="I131" s="7"/>
      <c r="J131" s="7"/>
      <c r="K131" s="7"/>
      <c r="L131" s="7"/>
      <c r="M131" s="13"/>
    </row>
  </sheetData>
  <sheetProtection/>
  <mergeCells count="10">
    <mergeCell ref="A118:L118"/>
    <mergeCell ref="A103:L103"/>
    <mergeCell ref="A88:L88"/>
    <mergeCell ref="A73:L73"/>
    <mergeCell ref="A1:E1"/>
    <mergeCell ref="A58:L58"/>
    <mergeCell ref="A13:L13"/>
    <mergeCell ref="A28:L28"/>
    <mergeCell ref="A4:L4"/>
    <mergeCell ref="A43:L43"/>
  </mergeCells>
  <printOptions/>
  <pageMargins left="0.7086614173228347" right="0.15748031496062992" top="0.31496062992125984" bottom="0.31496062992125984" header="0.31496062992125984" footer="0.31496062992125984"/>
  <pageSetup fitToHeight="3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undefined</dc:creator>
  <cp:keywords/>
  <dc:description/>
  <cp:lastModifiedBy>Евгений Боровиков</cp:lastModifiedBy>
  <cp:lastPrinted>2021-11-01T08:05:28Z</cp:lastPrinted>
  <dcterms:created xsi:type="dcterms:W3CDTF">2018-07-27T10:05:09Z</dcterms:created>
  <dcterms:modified xsi:type="dcterms:W3CDTF">2024-04-08T08:50:02Z</dcterms:modified>
  <cp:category/>
  <cp:version/>
  <cp:contentType/>
  <cp:contentStatus/>
</cp:coreProperties>
</file>