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0" activeTab="0"/>
  </bookViews>
  <sheets>
    <sheet name="Взносы на КР" sheetId="1" r:id="rId1"/>
  </sheets>
  <definedNames/>
  <calcPr fullCalcOnLoad="1"/>
</workbook>
</file>

<file path=xl/sharedStrings.xml><?xml version="1.0" encoding="utf-8"?>
<sst xmlns="http://schemas.openxmlformats.org/spreadsheetml/2006/main" count="245" uniqueCount="38">
  <si>
    <t>Год</t>
  </si>
  <si>
    <t>Отчетный период</t>
  </si>
  <si>
    <t>Тариф (руб./кв.м)</t>
  </si>
  <si>
    <t>Площадь жилых и нежилых помещений</t>
  </si>
  <si>
    <t>Плановая сумма поступлений за отчетный период</t>
  </si>
  <si>
    <t>Фактическая сумма поступлений за отчетный период</t>
  </si>
  <si>
    <t>Факт/План за отчетный период (%)</t>
  </si>
  <si>
    <t>Сумма поступлений с начала формирования фонда КР (план)</t>
  </si>
  <si>
    <t>Сумма поступлений с начала формирования фонда КР (факт)</t>
  </si>
  <si>
    <t>Специальный счет</t>
  </si>
  <si>
    <t>Остаток на счёте (план)</t>
  </si>
  <si>
    <t>Остаток на счёте (факт)</t>
  </si>
  <si>
    <t/>
  </si>
  <si>
    <t>2 - февраль</t>
  </si>
  <si>
    <t>Действующий [40705810900000000001]</t>
  </si>
  <si>
    <t>3 - март</t>
  </si>
  <si>
    <t>4 - апрель</t>
  </si>
  <si>
    <t>5 - май</t>
  </si>
  <si>
    <t>6 - июнь</t>
  </si>
  <si>
    <t>7 - июль</t>
  </si>
  <si>
    <t>8 - август</t>
  </si>
  <si>
    <t>9 - сентябрь</t>
  </si>
  <si>
    <t>10 - октябрь</t>
  </si>
  <si>
    <t>11 - ноябрь</t>
  </si>
  <si>
    <t>12 - декабрь</t>
  </si>
  <si>
    <t>2018 [12]</t>
  </si>
  <si>
    <t>1 - январь</t>
  </si>
  <si>
    <t>2016 [06]</t>
  </si>
  <si>
    <t>2017 [12]</t>
  </si>
  <si>
    <t>-</t>
  </si>
  <si>
    <t>Итого:</t>
  </si>
  <si>
    <t>2019 [12]</t>
  </si>
  <si>
    <t>Вносы на Кап.Ремонт дом №15 г.Яхрома ул. Бусалова</t>
  </si>
  <si>
    <t>2020 [12]</t>
  </si>
  <si>
    <t>2021 [12]</t>
  </si>
  <si>
    <t>2022 [12]</t>
  </si>
  <si>
    <t>2023 [01]</t>
  </si>
  <si>
    <t>2024 [01]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</si>
</sst>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26" fillId="0" borderId="10" xfId="0" applyFont="1" applyBorder="1" applyAlignment="1">
      <alignment wrapText="1"/>
    </xf>
    <xf numFmtId="9" fontId="26" fillId="0" borderId="10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9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9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35" fillId="0" borderId="0" xfId="0" applyFont="1" applyAlignment="1">
      <alignment horizontal="left"/>
    </xf>
    <xf numFmtId="0" fontId="2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tabSelected="1" zoomScalePageLayoutView="0" workbookViewId="0" topLeftCell="A97">
      <selection activeCell="F122" sqref="F122"/>
    </sheetView>
  </sheetViews>
  <sheetFormatPr defaultColWidth="8.8515625" defaultRowHeight="15"/>
  <cols>
    <col min="1" max="1" width="5.00390625" style="0" bestFit="1" customWidth="1"/>
    <col min="2" max="2" width="12.140625" style="0" bestFit="1" customWidth="1"/>
    <col min="3" max="3" width="11.00390625" style="0" customWidth="1"/>
    <col min="4" max="4" width="9.00390625" style="0" customWidth="1"/>
    <col min="5" max="5" width="13.421875" style="0" customWidth="1"/>
    <col min="6" max="6" width="15.57421875" style="0" customWidth="1"/>
    <col min="7" max="7" width="11.140625" style="0" customWidth="1"/>
    <col min="8" max="8" width="11.7109375" style="0" customWidth="1"/>
    <col min="9" max="9" width="12.8515625" style="0" customWidth="1"/>
    <col min="10" max="10" width="37.00390625" style="0" customWidth="1"/>
    <col min="11" max="12" width="14.28125" style="0" customWidth="1"/>
    <col min="13" max="13" width="11.00390625" style="0" customWidth="1"/>
  </cols>
  <sheetData>
    <row r="1" spans="1:7" ht="17.25">
      <c r="A1" s="21" t="s">
        <v>32</v>
      </c>
      <c r="B1" s="21"/>
      <c r="C1" s="21"/>
      <c r="D1" s="21"/>
      <c r="E1" s="21"/>
      <c r="F1" s="21"/>
      <c r="G1" s="18"/>
    </row>
    <row r="3" spans="1:12" ht="10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3" ht="15.75" customHeight="1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1">
        <v>2016</v>
      </c>
      <c r="B5" s="1" t="s">
        <v>19</v>
      </c>
      <c r="C5" s="2">
        <v>8.3</v>
      </c>
      <c r="D5" s="3">
        <v>7027</v>
      </c>
      <c r="E5" s="3">
        <v>16932.73</v>
      </c>
      <c r="F5" s="6" t="s">
        <v>29</v>
      </c>
      <c r="G5" s="6" t="s">
        <v>29</v>
      </c>
      <c r="H5" s="3">
        <v>16932.73</v>
      </c>
      <c r="I5" s="6" t="s">
        <v>29</v>
      </c>
      <c r="J5" s="1" t="s">
        <v>14</v>
      </c>
      <c r="K5" s="3">
        <v>16932.73</v>
      </c>
      <c r="L5" s="6" t="s">
        <v>29</v>
      </c>
    </row>
    <row r="6" spans="1:12" ht="15">
      <c r="A6" s="1">
        <v>2016</v>
      </c>
      <c r="B6" s="1" t="s">
        <v>20</v>
      </c>
      <c r="C6" s="2">
        <v>8.3</v>
      </c>
      <c r="D6" s="3">
        <v>7027</v>
      </c>
      <c r="E6" s="3">
        <v>58324.1</v>
      </c>
      <c r="F6" s="3">
        <v>13652.14</v>
      </c>
      <c r="G6" s="4">
        <f>F6/E6*100%</f>
        <v>0.23407373624282243</v>
      </c>
      <c r="H6" s="3">
        <f>H5+E6</f>
        <v>75256.83</v>
      </c>
      <c r="I6" s="3">
        <v>13652.14</v>
      </c>
      <c r="J6" s="1" t="s">
        <v>14</v>
      </c>
      <c r="K6" s="3">
        <f>K5+E6</f>
        <v>75256.83</v>
      </c>
      <c r="L6" s="6" t="s">
        <v>29</v>
      </c>
    </row>
    <row r="7" spans="1:12" ht="15">
      <c r="A7" s="1">
        <v>2016</v>
      </c>
      <c r="B7" s="1" t="s">
        <v>21</v>
      </c>
      <c r="C7" s="2">
        <v>8.3</v>
      </c>
      <c r="D7" s="3">
        <v>7027</v>
      </c>
      <c r="E7" s="3">
        <v>58324.1</v>
      </c>
      <c r="F7" s="3">
        <v>48595.94</v>
      </c>
      <c r="G7" s="4">
        <f>F7/E7*100%</f>
        <v>0.8332051416138441</v>
      </c>
      <c r="H7" s="3">
        <f>H6+E7</f>
        <v>133580.93</v>
      </c>
      <c r="I7" s="3">
        <f>I6+F7</f>
        <v>62248.08</v>
      </c>
      <c r="J7" s="1" t="s">
        <v>14</v>
      </c>
      <c r="K7" s="3">
        <f>K6+E6</f>
        <v>133580.93</v>
      </c>
      <c r="L7" s="3">
        <v>52504.39</v>
      </c>
    </row>
    <row r="8" spans="1:12" ht="15">
      <c r="A8" s="1">
        <v>2016</v>
      </c>
      <c r="B8" s="1" t="s">
        <v>22</v>
      </c>
      <c r="C8" s="2">
        <v>8.3</v>
      </c>
      <c r="D8" s="3">
        <v>7027</v>
      </c>
      <c r="E8" s="3">
        <v>58324.1</v>
      </c>
      <c r="F8" s="3">
        <v>50993.23</v>
      </c>
      <c r="G8" s="4">
        <f>F8/E8*100%</f>
        <v>0.87430804761668</v>
      </c>
      <c r="H8" s="3">
        <f>H7+E8</f>
        <v>191905.03</v>
      </c>
      <c r="I8" s="3">
        <f>I7+F8</f>
        <v>113241.31</v>
      </c>
      <c r="J8" s="1" t="s">
        <v>14</v>
      </c>
      <c r="K8" s="3">
        <f>K7+E9</f>
        <v>191905.03</v>
      </c>
      <c r="L8" s="3">
        <v>97544.62</v>
      </c>
    </row>
    <row r="9" spans="1:12" ht="15">
      <c r="A9" s="1">
        <v>2016</v>
      </c>
      <c r="B9" s="1" t="s">
        <v>23</v>
      </c>
      <c r="C9" s="2">
        <v>8.3</v>
      </c>
      <c r="D9" s="3">
        <v>7027</v>
      </c>
      <c r="E9" s="3">
        <v>58324.1</v>
      </c>
      <c r="F9" s="3">
        <v>60780.28</v>
      </c>
      <c r="G9" s="4">
        <f>F9/E9*100%</f>
        <v>1.0421126086814885</v>
      </c>
      <c r="H9" s="3">
        <f>H8+E9</f>
        <v>250229.13</v>
      </c>
      <c r="I9" s="3">
        <f>I8+F9</f>
        <v>174021.59</v>
      </c>
      <c r="J9" s="1" t="s">
        <v>14</v>
      </c>
      <c r="K9" s="3">
        <f>K8+E9</f>
        <v>250229.13</v>
      </c>
      <c r="L9" s="3">
        <v>163962.64</v>
      </c>
    </row>
    <row r="10" spans="1:12" ht="13.5" customHeight="1">
      <c r="A10" s="1">
        <v>2016</v>
      </c>
      <c r="B10" s="1" t="s">
        <v>24</v>
      </c>
      <c r="C10" s="2">
        <v>8.3</v>
      </c>
      <c r="D10" s="3">
        <v>7027</v>
      </c>
      <c r="E10" s="3">
        <v>58324.1</v>
      </c>
      <c r="F10" s="3">
        <v>69790.33</v>
      </c>
      <c r="G10" s="4">
        <f>F10/E10*100%</f>
        <v>1.1965950610468057</v>
      </c>
      <c r="H10" s="3">
        <f>H9+E9</f>
        <v>308553.23</v>
      </c>
      <c r="I10" s="3">
        <f>I9+F10</f>
        <v>243811.91999999998</v>
      </c>
      <c r="J10" s="1" t="s">
        <v>14</v>
      </c>
      <c r="K10" s="3">
        <f>K9+E10</f>
        <v>308553.23</v>
      </c>
      <c r="L10" s="3">
        <v>239463.29</v>
      </c>
    </row>
    <row r="11" spans="1:12" ht="15">
      <c r="A11" s="7"/>
      <c r="B11" s="7" t="s">
        <v>30</v>
      </c>
      <c r="C11" s="2"/>
      <c r="D11" s="7"/>
      <c r="E11" s="7">
        <f>SUM(E5:E10)</f>
        <v>308553.23</v>
      </c>
      <c r="F11" s="7">
        <f>SUM(F6:F10)</f>
        <v>243811.91999999998</v>
      </c>
      <c r="G11" s="8">
        <f>F11/E11*100%</f>
        <v>0.7901778244227098</v>
      </c>
      <c r="H11" s="7"/>
      <c r="I11" s="7"/>
      <c r="J11" s="1" t="s">
        <v>14</v>
      </c>
      <c r="K11" s="7"/>
      <c r="L11" s="7"/>
    </row>
    <row r="12" spans="1:12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 ht="15">
      <c r="A13" s="22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">
      <c r="A14" s="1">
        <v>2017</v>
      </c>
      <c r="B14" s="1" t="s">
        <v>26</v>
      </c>
      <c r="C14" s="1">
        <v>8.65</v>
      </c>
      <c r="D14" s="3">
        <v>7027</v>
      </c>
      <c r="E14" s="1">
        <f>C14*D14</f>
        <v>60783.55</v>
      </c>
      <c r="F14" s="1">
        <v>46909.09</v>
      </c>
      <c r="G14" s="10">
        <f>F14/E14*100%</f>
        <v>0.7717398868608364</v>
      </c>
      <c r="H14" s="1">
        <f>H10+E14</f>
        <v>369336.77999999997</v>
      </c>
      <c r="I14" s="1">
        <f>I10+F14</f>
        <v>290721.01</v>
      </c>
      <c r="J14" s="1" t="s">
        <v>14</v>
      </c>
      <c r="K14" s="1">
        <f>K10+E14</f>
        <v>369336.77999999997</v>
      </c>
      <c r="L14" s="1">
        <v>271932.96</v>
      </c>
    </row>
    <row r="15" spans="1:12" ht="15">
      <c r="A15" s="1">
        <v>2017</v>
      </c>
      <c r="B15" s="1" t="s">
        <v>13</v>
      </c>
      <c r="C15" s="1">
        <v>8.65</v>
      </c>
      <c r="D15" s="6">
        <v>7027</v>
      </c>
      <c r="E15" s="1">
        <f aca="true" t="shared" si="0" ref="E15:E25">C15*D15</f>
        <v>60783.55</v>
      </c>
      <c r="F15" s="1">
        <v>54122.18</v>
      </c>
      <c r="G15" s="10">
        <f aca="true" t="shared" si="1" ref="G15:G26">F15/E15*100%</f>
        <v>0.890408342388689</v>
      </c>
      <c r="H15" s="1">
        <f>H14+E15</f>
        <v>430120.32999999996</v>
      </c>
      <c r="I15" s="1">
        <f>I14+F15</f>
        <v>344843.19</v>
      </c>
      <c r="J15" s="1" t="s">
        <v>14</v>
      </c>
      <c r="K15" s="1">
        <f>K14+E15</f>
        <v>430120.32999999996</v>
      </c>
      <c r="L15" s="1">
        <v>337098.22</v>
      </c>
    </row>
    <row r="16" spans="1:12" ht="15">
      <c r="A16" s="1">
        <v>2017</v>
      </c>
      <c r="B16" s="1" t="s">
        <v>15</v>
      </c>
      <c r="C16" s="1">
        <v>8.65</v>
      </c>
      <c r="D16" s="3">
        <v>7027</v>
      </c>
      <c r="E16" s="1">
        <f t="shared" si="0"/>
        <v>60783.55</v>
      </c>
      <c r="F16" s="1">
        <v>67237.8</v>
      </c>
      <c r="G16" s="10">
        <f t="shared" si="1"/>
        <v>1.1061841567331951</v>
      </c>
      <c r="H16" s="1">
        <f>H15+E16</f>
        <v>490903.87999999995</v>
      </c>
      <c r="I16" s="1">
        <f>I15+F16</f>
        <v>412080.99</v>
      </c>
      <c r="J16" s="1" t="s">
        <v>14</v>
      </c>
      <c r="K16" s="1">
        <f>K15+E17</f>
        <v>490903.87999999995</v>
      </c>
      <c r="L16" s="1">
        <v>382922.73</v>
      </c>
    </row>
    <row r="17" spans="1:12" ht="15">
      <c r="A17" s="1">
        <v>2017</v>
      </c>
      <c r="B17" s="1" t="s">
        <v>16</v>
      </c>
      <c r="C17" s="1">
        <v>8.65</v>
      </c>
      <c r="D17" s="3">
        <v>7027</v>
      </c>
      <c r="E17" s="1">
        <f t="shared" si="0"/>
        <v>60783.55</v>
      </c>
      <c r="F17" s="1">
        <v>54506.06</v>
      </c>
      <c r="G17" s="10">
        <f t="shared" si="1"/>
        <v>0.8967238669014889</v>
      </c>
      <c r="H17" s="1">
        <f>H16+E19</f>
        <v>551687.4299999999</v>
      </c>
      <c r="I17" s="1">
        <f aca="true" t="shared" si="2" ref="I17:I25">I16+F17</f>
        <v>466587.05</v>
      </c>
      <c r="J17" s="1" t="s">
        <v>14</v>
      </c>
      <c r="K17" s="1">
        <f>K16+E17</f>
        <v>551687.4299999999</v>
      </c>
      <c r="L17" s="1">
        <v>450604.31</v>
      </c>
    </row>
    <row r="18" spans="1:12" ht="15">
      <c r="A18" s="1">
        <v>2017</v>
      </c>
      <c r="B18" s="1" t="s">
        <v>17</v>
      </c>
      <c r="C18" s="1">
        <v>8.65</v>
      </c>
      <c r="D18" s="3">
        <v>7027</v>
      </c>
      <c r="E18" s="1">
        <f t="shared" si="0"/>
        <v>60783.55</v>
      </c>
      <c r="F18" s="1">
        <v>60456.18</v>
      </c>
      <c r="G18" s="10">
        <f t="shared" si="1"/>
        <v>0.9946141678134955</v>
      </c>
      <c r="H18" s="1">
        <f>H17+E18</f>
        <v>612470.98</v>
      </c>
      <c r="I18" s="1">
        <f t="shared" si="2"/>
        <v>527043.23</v>
      </c>
      <c r="J18" s="1" t="s">
        <v>14</v>
      </c>
      <c r="K18" s="1">
        <f>K17+E19</f>
        <v>612470.98</v>
      </c>
      <c r="L18" s="1">
        <v>504840.23</v>
      </c>
    </row>
    <row r="19" spans="1:12" ht="15">
      <c r="A19" s="1">
        <v>2017</v>
      </c>
      <c r="B19" s="1" t="s">
        <v>18</v>
      </c>
      <c r="C19" s="1">
        <v>8.65</v>
      </c>
      <c r="D19" s="3">
        <v>7027</v>
      </c>
      <c r="E19" s="1">
        <f t="shared" si="0"/>
        <v>60783.55</v>
      </c>
      <c r="F19" s="1">
        <v>59198.32</v>
      </c>
      <c r="G19" s="10">
        <f t="shared" si="1"/>
        <v>0.9739200819958689</v>
      </c>
      <c r="H19" s="1">
        <f>H18+E20</f>
        <v>673254.53</v>
      </c>
      <c r="I19" s="1">
        <f t="shared" si="2"/>
        <v>586241.5499999999</v>
      </c>
      <c r="J19" s="1" t="s">
        <v>14</v>
      </c>
      <c r="K19" s="1">
        <f>K18+E17</f>
        <v>673254.53</v>
      </c>
      <c r="L19" s="1">
        <v>574999.9</v>
      </c>
    </row>
    <row r="20" spans="1:12" ht="15">
      <c r="A20" s="1">
        <v>2017</v>
      </c>
      <c r="B20" s="1" t="s">
        <v>19</v>
      </c>
      <c r="C20" s="1">
        <v>8.65</v>
      </c>
      <c r="D20" s="3">
        <v>7027</v>
      </c>
      <c r="E20" s="1">
        <f t="shared" si="0"/>
        <v>60783.55</v>
      </c>
      <c r="F20" s="1">
        <v>56265.1</v>
      </c>
      <c r="G20" s="10">
        <f t="shared" si="1"/>
        <v>0.9256632756724474</v>
      </c>
      <c r="H20" s="1">
        <f>H19+E19</f>
        <v>734038.0800000001</v>
      </c>
      <c r="I20" s="1">
        <f t="shared" si="2"/>
        <v>642506.6499999999</v>
      </c>
      <c r="J20" s="1" t="s">
        <v>14</v>
      </c>
      <c r="K20" s="1">
        <f>K19+E20</f>
        <v>734038.0800000001</v>
      </c>
      <c r="L20" s="1">
        <v>626376.85</v>
      </c>
    </row>
    <row r="21" spans="1:12" ht="15">
      <c r="A21" s="1">
        <v>2017</v>
      </c>
      <c r="B21" s="1" t="s">
        <v>20</v>
      </c>
      <c r="C21" s="1">
        <v>8.65</v>
      </c>
      <c r="D21" s="3">
        <v>7027</v>
      </c>
      <c r="E21" s="1">
        <f t="shared" si="0"/>
        <v>60783.55</v>
      </c>
      <c r="F21" s="1">
        <v>62407.2</v>
      </c>
      <c r="G21" s="10">
        <f t="shared" si="1"/>
        <v>1.0267119969136385</v>
      </c>
      <c r="H21" s="1">
        <f>H20+E20</f>
        <v>794821.6300000001</v>
      </c>
      <c r="I21" s="1">
        <f t="shared" si="2"/>
        <v>704913.8499999999</v>
      </c>
      <c r="J21" s="1" t="s">
        <v>14</v>
      </c>
      <c r="K21" s="1">
        <f>K20+E18</f>
        <v>794821.6300000001</v>
      </c>
      <c r="L21" s="1">
        <v>693533.8</v>
      </c>
    </row>
    <row r="22" spans="1:12" ht="15">
      <c r="A22" s="1">
        <v>2017</v>
      </c>
      <c r="B22" s="1" t="s">
        <v>21</v>
      </c>
      <c r="C22" s="1">
        <v>8.65</v>
      </c>
      <c r="D22" s="3">
        <v>7027</v>
      </c>
      <c r="E22" s="1">
        <f t="shared" si="0"/>
        <v>60783.55</v>
      </c>
      <c r="F22" s="1">
        <v>58112.64</v>
      </c>
      <c r="G22" s="10">
        <f t="shared" si="1"/>
        <v>0.9560586704791016</v>
      </c>
      <c r="H22" s="1">
        <f>H21+E22</f>
        <v>855605.1800000002</v>
      </c>
      <c r="I22" s="1">
        <f t="shared" si="2"/>
        <v>763026.4899999999</v>
      </c>
      <c r="J22" s="1" t="s">
        <v>14</v>
      </c>
      <c r="K22" s="1">
        <f>K21+E23</f>
        <v>855605.1800000002</v>
      </c>
      <c r="L22" s="1">
        <v>728402.61</v>
      </c>
    </row>
    <row r="23" spans="1:12" ht="15">
      <c r="A23" s="1">
        <v>2017</v>
      </c>
      <c r="B23" s="1" t="s">
        <v>22</v>
      </c>
      <c r="C23" s="1">
        <v>8.65</v>
      </c>
      <c r="D23" s="3">
        <v>7027</v>
      </c>
      <c r="E23" s="1">
        <f t="shared" si="0"/>
        <v>60783.55</v>
      </c>
      <c r="F23" s="1">
        <v>65109.18</v>
      </c>
      <c r="G23" s="10">
        <f t="shared" si="1"/>
        <v>1.0711644844698935</v>
      </c>
      <c r="H23" s="1">
        <f>H22+E21</f>
        <v>916388.7300000002</v>
      </c>
      <c r="I23" s="1">
        <f t="shared" si="2"/>
        <v>828135.6699999999</v>
      </c>
      <c r="J23" s="1" t="s">
        <v>14</v>
      </c>
      <c r="K23" s="1">
        <f>K22+E22</f>
        <v>916388.7300000002</v>
      </c>
      <c r="L23" s="1">
        <v>813227.78</v>
      </c>
    </row>
    <row r="24" spans="1:12" ht="15">
      <c r="A24" s="1">
        <v>2017</v>
      </c>
      <c r="B24" s="1" t="s">
        <v>23</v>
      </c>
      <c r="C24" s="1">
        <v>8.65</v>
      </c>
      <c r="D24" s="3">
        <v>7027</v>
      </c>
      <c r="E24" s="1">
        <f t="shared" si="0"/>
        <v>60783.55</v>
      </c>
      <c r="F24" s="1">
        <v>59959.88</v>
      </c>
      <c r="G24" s="10">
        <f t="shared" si="1"/>
        <v>0.986449129739872</v>
      </c>
      <c r="H24" s="1">
        <f>H23+E21</f>
        <v>977172.2800000003</v>
      </c>
      <c r="I24" s="1">
        <f t="shared" si="2"/>
        <v>888095.5499999999</v>
      </c>
      <c r="J24" s="1" t="s">
        <v>14</v>
      </c>
      <c r="K24" s="1">
        <f>K23+E20</f>
        <v>977172.2800000003</v>
      </c>
      <c r="L24" s="1">
        <v>872910.88</v>
      </c>
    </row>
    <row r="25" spans="1:12" ht="15">
      <c r="A25" s="1">
        <v>2017</v>
      </c>
      <c r="B25" s="1" t="s">
        <v>24</v>
      </c>
      <c r="C25" s="1">
        <v>8.65</v>
      </c>
      <c r="D25" s="3">
        <v>7027</v>
      </c>
      <c r="E25" s="1">
        <f t="shared" si="0"/>
        <v>60783.55</v>
      </c>
      <c r="F25" s="1">
        <v>73563.87</v>
      </c>
      <c r="G25" s="10">
        <f t="shared" si="1"/>
        <v>1.2102595192284753</v>
      </c>
      <c r="H25" s="1">
        <f>H24+E22</f>
        <v>1037955.8300000003</v>
      </c>
      <c r="I25" s="1">
        <f t="shared" si="2"/>
        <v>961659.4199999999</v>
      </c>
      <c r="J25" s="1" t="s">
        <v>14</v>
      </c>
      <c r="K25" s="1">
        <f>K24+E23</f>
        <v>1037955.8300000003</v>
      </c>
      <c r="L25" s="1">
        <v>960350.27</v>
      </c>
    </row>
    <row r="26" spans="1:12" s="14" customFormat="1" ht="15">
      <c r="A26" s="11"/>
      <c r="B26" s="11" t="s">
        <v>30</v>
      </c>
      <c r="C26" s="11"/>
      <c r="D26" s="12"/>
      <c r="E26" s="11">
        <f>SUM(E14:E25)</f>
        <v>729402.6000000001</v>
      </c>
      <c r="F26" s="11">
        <f>SUM(F14:F25)</f>
        <v>717847.5</v>
      </c>
      <c r="G26" s="13">
        <f t="shared" si="1"/>
        <v>0.9841581315997502</v>
      </c>
      <c r="H26" s="11"/>
      <c r="I26" s="11"/>
      <c r="J26" s="11"/>
      <c r="K26" s="11"/>
      <c r="L26" s="11"/>
    </row>
    <row r="27" ht="15">
      <c r="D27" s="9"/>
    </row>
    <row r="28" spans="1:13" ht="15">
      <c r="A28" s="22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5">
      <c r="A29" s="15">
        <v>2018</v>
      </c>
      <c r="B29" s="15" t="s">
        <v>26</v>
      </c>
      <c r="C29" s="15">
        <v>9.07</v>
      </c>
      <c r="D29" s="3">
        <v>7027</v>
      </c>
      <c r="E29" s="15">
        <f>C29*D29</f>
        <v>63734.89</v>
      </c>
      <c r="F29" s="15">
        <v>48774.32</v>
      </c>
      <c r="G29" s="16">
        <f>F29/E29*100%</f>
        <v>0.7652687562495205</v>
      </c>
      <c r="H29" s="15">
        <f>H25+E29</f>
        <v>1101690.7200000002</v>
      </c>
      <c r="I29" s="15">
        <f>I25+F29</f>
        <v>1010433.7399999999</v>
      </c>
      <c r="J29" s="15" t="s">
        <v>14</v>
      </c>
      <c r="K29" s="15">
        <f>K25+E29</f>
        <v>1101690.7200000002</v>
      </c>
      <c r="L29" s="15">
        <v>987078.1</v>
      </c>
    </row>
    <row r="30" spans="1:12" ht="15">
      <c r="A30" s="15">
        <v>2018</v>
      </c>
      <c r="B30" s="15" t="s">
        <v>13</v>
      </c>
      <c r="C30" s="15">
        <v>9.07</v>
      </c>
      <c r="D30" s="3">
        <v>7027</v>
      </c>
      <c r="E30" s="15">
        <f aca="true" t="shared" si="3" ref="E30:E36">C30*D30</f>
        <v>63734.89</v>
      </c>
      <c r="F30" s="15">
        <v>57986.04</v>
      </c>
      <c r="G30" s="16">
        <f aca="true" t="shared" si="4" ref="G30:G41">F30/E30*100%</f>
        <v>0.9098005817535733</v>
      </c>
      <c r="H30" s="15">
        <f>H29+E29</f>
        <v>1165425.61</v>
      </c>
      <c r="I30" s="15">
        <f aca="true" t="shared" si="5" ref="I30:I40">I29+F30</f>
        <v>1068419.7799999998</v>
      </c>
      <c r="J30" s="15" t="s">
        <v>14</v>
      </c>
      <c r="K30" s="15">
        <f>K29+E31</f>
        <v>1165425.61</v>
      </c>
      <c r="L30" s="15">
        <v>1058531.91</v>
      </c>
    </row>
    <row r="31" spans="1:12" ht="15">
      <c r="A31" s="15">
        <v>2018</v>
      </c>
      <c r="B31" s="15" t="s">
        <v>15</v>
      </c>
      <c r="C31" s="15">
        <v>9.07</v>
      </c>
      <c r="D31" s="3">
        <v>7027</v>
      </c>
      <c r="E31" s="15">
        <f t="shared" si="3"/>
        <v>63734.89</v>
      </c>
      <c r="F31" s="15">
        <v>69445.39</v>
      </c>
      <c r="G31" s="16">
        <f t="shared" si="4"/>
        <v>1.0895977070016125</v>
      </c>
      <c r="H31" s="15">
        <f>H30+E31</f>
        <v>1229160.5</v>
      </c>
      <c r="I31" s="15">
        <f t="shared" si="5"/>
        <v>1137865.1699999997</v>
      </c>
      <c r="J31" s="15" t="s">
        <v>14</v>
      </c>
      <c r="K31" s="15">
        <f>K30+E33</f>
        <v>1229160.5</v>
      </c>
      <c r="L31" s="15">
        <v>1118684.09</v>
      </c>
    </row>
    <row r="32" spans="1:12" ht="15">
      <c r="A32" s="15">
        <v>2018</v>
      </c>
      <c r="B32" s="15" t="s">
        <v>16</v>
      </c>
      <c r="C32" s="15">
        <v>9.07</v>
      </c>
      <c r="D32" s="3">
        <v>7027</v>
      </c>
      <c r="E32" s="15">
        <f t="shared" si="3"/>
        <v>63734.89</v>
      </c>
      <c r="F32" s="15">
        <v>49414.32</v>
      </c>
      <c r="G32" s="16">
        <f t="shared" si="4"/>
        <v>0.7753103519908797</v>
      </c>
      <c r="H32" s="15">
        <f>H31+E30</f>
        <v>1292895.39</v>
      </c>
      <c r="I32" s="15">
        <f t="shared" si="5"/>
        <v>1187279.4899999998</v>
      </c>
      <c r="J32" s="15" t="s">
        <v>14</v>
      </c>
      <c r="K32" s="15">
        <f>K31+E32</f>
        <v>1292895.39</v>
      </c>
      <c r="L32" s="15">
        <v>1173661.03</v>
      </c>
    </row>
    <row r="33" spans="1:12" ht="15">
      <c r="A33" s="15">
        <v>2018</v>
      </c>
      <c r="B33" s="15" t="s">
        <v>17</v>
      </c>
      <c r="C33" s="15">
        <v>9.07</v>
      </c>
      <c r="D33" s="3">
        <v>7027</v>
      </c>
      <c r="E33" s="15">
        <f t="shared" si="3"/>
        <v>63734.89</v>
      </c>
      <c r="F33" s="15">
        <v>57785.99</v>
      </c>
      <c r="G33" s="16">
        <f t="shared" si="4"/>
        <v>0.9066617985847312</v>
      </c>
      <c r="H33" s="15">
        <f>H32+E32</f>
        <v>1356630.2799999998</v>
      </c>
      <c r="I33" s="15">
        <f t="shared" si="5"/>
        <v>1245065.4799999997</v>
      </c>
      <c r="J33" s="15" t="s">
        <v>14</v>
      </c>
      <c r="K33" s="15">
        <f aca="true" t="shared" si="6" ref="K33:K40">K32+E32</f>
        <v>1356630.2799999998</v>
      </c>
      <c r="L33" s="15">
        <v>1228100.16</v>
      </c>
    </row>
    <row r="34" spans="1:12" ht="15">
      <c r="A34" s="15">
        <v>2018</v>
      </c>
      <c r="B34" s="15" t="s">
        <v>18</v>
      </c>
      <c r="C34" s="15">
        <v>9.07</v>
      </c>
      <c r="D34" s="3">
        <v>7027</v>
      </c>
      <c r="E34" s="15">
        <f t="shared" si="3"/>
        <v>63734.89</v>
      </c>
      <c r="F34" s="15">
        <v>69048.65</v>
      </c>
      <c r="G34" s="16">
        <f t="shared" si="4"/>
        <v>1.0833728590415703</v>
      </c>
      <c r="H34" s="15">
        <f>H33+E33</f>
        <v>1420365.1699999997</v>
      </c>
      <c r="I34" s="15">
        <f t="shared" si="5"/>
        <v>1314114.1299999997</v>
      </c>
      <c r="J34" s="15" t="s">
        <v>14</v>
      </c>
      <c r="K34" s="15">
        <f t="shared" si="6"/>
        <v>1420365.1699999997</v>
      </c>
      <c r="L34" s="15">
        <v>1298831.53</v>
      </c>
    </row>
    <row r="35" spans="1:12" ht="15">
      <c r="A35" s="15">
        <v>2018</v>
      </c>
      <c r="B35" s="15" t="s">
        <v>19</v>
      </c>
      <c r="C35" s="15">
        <v>9.07</v>
      </c>
      <c r="D35" s="3">
        <v>7027</v>
      </c>
      <c r="E35" s="15">
        <f t="shared" si="3"/>
        <v>63734.89</v>
      </c>
      <c r="F35" s="15">
        <v>67876.9</v>
      </c>
      <c r="G35" s="16">
        <f t="shared" si="4"/>
        <v>1.0649881093385427</v>
      </c>
      <c r="H35" s="15">
        <f aca="true" t="shared" si="7" ref="H35:H40">H34+E32</f>
        <v>1484100.0599999996</v>
      </c>
      <c r="I35" s="15">
        <f t="shared" si="5"/>
        <v>1381991.0299999996</v>
      </c>
      <c r="J35" s="15" t="s">
        <v>14</v>
      </c>
      <c r="K35" s="15">
        <f t="shared" si="6"/>
        <v>1484100.0599999996</v>
      </c>
      <c r="L35" s="15">
        <v>1369686.79</v>
      </c>
    </row>
    <row r="36" spans="1:12" ht="15">
      <c r="A36" s="15">
        <v>2018</v>
      </c>
      <c r="B36" s="15" t="s">
        <v>20</v>
      </c>
      <c r="C36" s="15">
        <v>9.07</v>
      </c>
      <c r="D36" s="3">
        <v>7027</v>
      </c>
      <c r="E36" s="15">
        <f t="shared" si="3"/>
        <v>63734.89</v>
      </c>
      <c r="F36" s="15">
        <v>62806.94</v>
      </c>
      <c r="G36" s="16">
        <f t="shared" si="4"/>
        <v>0.9854404706746964</v>
      </c>
      <c r="H36" s="15">
        <f t="shared" si="7"/>
        <v>1547834.9499999995</v>
      </c>
      <c r="I36" s="15">
        <f t="shared" si="5"/>
        <v>1444797.9699999995</v>
      </c>
      <c r="J36" s="15" t="s">
        <v>14</v>
      </c>
      <c r="K36" s="15">
        <f t="shared" si="6"/>
        <v>1547834.9499999995</v>
      </c>
      <c r="L36" s="15">
        <v>1425859.33</v>
      </c>
    </row>
    <row r="37" spans="1:12" ht="15">
      <c r="A37" s="15">
        <v>2018</v>
      </c>
      <c r="B37" s="15" t="s">
        <v>21</v>
      </c>
      <c r="C37" s="15">
        <v>9.07</v>
      </c>
      <c r="D37" s="3">
        <v>7027</v>
      </c>
      <c r="E37" s="15">
        <f>C37*D37</f>
        <v>63734.89</v>
      </c>
      <c r="F37" s="15">
        <v>60531.92</v>
      </c>
      <c r="G37" s="16">
        <f t="shared" si="4"/>
        <v>0.9497454220129665</v>
      </c>
      <c r="H37" s="15">
        <f t="shared" si="7"/>
        <v>1611569.8399999994</v>
      </c>
      <c r="I37" s="15">
        <f t="shared" si="5"/>
        <v>1505329.8899999994</v>
      </c>
      <c r="J37" s="15" t="s">
        <v>14</v>
      </c>
      <c r="K37" s="15">
        <f t="shared" si="6"/>
        <v>1611569.8399999994</v>
      </c>
      <c r="L37" s="15">
        <v>1485417.37</v>
      </c>
    </row>
    <row r="38" spans="1:12" ht="15">
      <c r="A38" s="15">
        <v>2018</v>
      </c>
      <c r="B38" s="15" t="s">
        <v>22</v>
      </c>
      <c r="C38" s="15">
        <v>9.07</v>
      </c>
      <c r="D38" s="3">
        <v>7027</v>
      </c>
      <c r="E38" s="15">
        <f>C38*D38</f>
        <v>63734.89</v>
      </c>
      <c r="F38" s="15">
        <v>67157.18</v>
      </c>
      <c r="G38" s="16">
        <f t="shared" si="4"/>
        <v>1.0536957073276505</v>
      </c>
      <c r="H38" s="15">
        <f t="shared" si="7"/>
        <v>1675304.7299999993</v>
      </c>
      <c r="I38" s="15">
        <f t="shared" si="5"/>
        <v>1572487.0699999994</v>
      </c>
      <c r="J38" s="15" t="s">
        <v>14</v>
      </c>
      <c r="K38" s="15">
        <f t="shared" si="6"/>
        <v>1675304.7299999993</v>
      </c>
      <c r="L38" s="15">
        <v>1560340.79</v>
      </c>
    </row>
    <row r="39" spans="1:12" ht="15">
      <c r="A39" s="15">
        <v>2018</v>
      </c>
      <c r="B39" s="15" t="s">
        <v>23</v>
      </c>
      <c r="C39" s="15">
        <v>9.07</v>
      </c>
      <c r="D39" s="3">
        <v>7027</v>
      </c>
      <c r="E39" s="15">
        <f>C39*D39</f>
        <v>63734.89</v>
      </c>
      <c r="F39" s="15">
        <v>70678.81</v>
      </c>
      <c r="G39" s="16">
        <f t="shared" si="4"/>
        <v>1.1089500585942802</v>
      </c>
      <c r="H39" s="15">
        <f t="shared" si="7"/>
        <v>1739039.6199999992</v>
      </c>
      <c r="I39" s="15">
        <f t="shared" si="5"/>
        <v>1643165.8799999994</v>
      </c>
      <c r="J39" s="15" t="s">
        <v>14</v>
      </c>
      <c r="K39" s="15">
        <f>K38+E38</f>
        <v>1739039.6199999992</v>
      </c>
      <c r="L39" s="15">
        <v>1627510.12</v>
      </c>
    </row>
    <row r="40" spans="1:12" ht="15">
      <c r="A40" s="15">
        <v>2018</v>
      </c>
      <c r="B40" s="15" t="s">
        <v>24</v>
      </c>
      <c r="C40" s="15">
        <v>9.07</v>
      </c>
      <c r="D40" s="3">
        <v>7027</v>
      </c>
      <c r="E40" s="15">
        <f>C40*D40</f>
        <v>63734.89</v>
      </c>
      <c r="F40" s="15">
        <v>69879.83</v>
      </c>
      <c r="G40" s="16">
        <f t="shared" si="4"/>
        <v>1.0964140677107939</v>
      </c>
      <c r="H40" s="15">
        <f t="shared" si="7"/>
        <v>1802774.509999999</v>
      </c>
      <c r="I40" s="15">
        <f t="shared" si="5"/>
        <v>1713045.7099999995</v>
      </c>
      <c r="J40" s="15" t="s">
        <v>14</v>
      </c>
      <c r="K40" s="15">
        <f t="shared" si="6"/>
        <v>1802774.509999999</v>
      </c>
      <c r="L40" s="15">
        <v>1712891.79</v>
      </c>
    </row>
    <row r="41" spans="1:12" s="14" customFormat="1" ht="15">
      <c r="A41" s="11"/>
      <c r="B41" s="11" t="s">
        <v>30</v>
      </c>
      <c r="C41" s="11"/>
      <c r="D41" s="11"/>
      <c r="E41" s="11">
        <f>SUM(E29:E40)</f>
        <v>764818.68</v>
      </c>
      <c r="F41" s="11">
        <f>SUM(F29:F40)</f>
        <v>751386.2899999999</v>
      </c>
      <c r="G41" s="13">
        <f t="shared" si="4"/>
        <v>0.9824371575234013</v>
      </c>
      <c r="H41" s="11"/>
      <c r="I41" s="11"/>
      <c r="J41" s="11"/>
      <c r="K41" s="11"/>
      <c r="L41" s="11"/>
    </row>
    <row r="42" ht="15">
      <c r="D42" s="9"/>
    </row>
    <row r="43" spans="1:13" ht="15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5">
      <c r="A44" s="15">
        <v>2019</v>
      </c>
      <c r="B44" s="15" t="s">
        <v>26</v>
      </c>
      <c r="C44" s="15">
        <v>9.07</v>
      </c>
      <c r="D44" s="3">
        <v>7027</v>
      </c>
      <c r="E44" s="15">
        <f>C44*D44</f>
        <v>63734.89</v>
      </c>
      <c r="F44" s="15">
        <v>43827.2</v>
      </c>
      <c r="G44" s="16">
        <f>F44/E44*100%</f>
        <v>0.6876484763682811</v>
      </c>
      <c r="H44" s="15">
        <f>H40+E44</f>
        <v>1866509.399999999</v>
      </c>
      <c r="I44" s="15">
        <f>I40+F44</f>
        <v>1756872.9099999995</v>
      </c>
      <c r="J44" s="15" t="s">
        <v>14</v>
      </c>
      <c r="K44" s="15">
        <f>K40+E44</f>
        <v>1866509.399999999</v>
      </c>
      <c r="L44" s="15">
        <v>1740931.19</v>
      </c>
    </row>
    <row r="45" spans="1:12" ht="15">
      <c r="A45" s="15">
        <v>2019</v>
      </c>
      <c r="B45" s="15" t="s">
        <v>13</v>
      </c>
      <c r="C45" s="15">
        <v>9.07</v>
      </c>
      <c r="D45" s="3">
        <v>7027</v>
      </c>
      <c r="E45" s="15">
        <f>C45*D45</f>
        <v>63734.89</v>
      </c>
      <c r="F45" s="15">
        <v>59201.84</v>
      </c>
      <c r="G45" s="16">
        <f aca="true" t="shared" si="8" ref="G45:G56">F45/E45*100%</f>
        <v>0.9288764756634866</v>
      </c>
      <c r="H45" s="15">
        <f aca="true" t="shared" si="9" ref="H45:I47">H44+E45</f>
        <v>1930244.2899999989</v>
      </c>
      <c r="I45" s="15">
        <f t="shared" si="9"/>
        <v>1816074.7499999995</v>
      </c>
      <c r="J45" s="15" t="s">
        <v>14</v>
      </c>
      <c r="K45" s="15">
        <f aca="true" t="shared" si="10" ref="K45:K53">K44+E44</f>
        <v>1930244.2899999989</v>
      </c>
      <c r="L45" s="15">
        <v>1800699.59</v>
      </c>
    </row>
    <row r="46" spans="1:13" ht="15">
      <c r="A46" s="15">
        <v>2019</v>
      </c>
      <c r="B46" s="15" t="s">
        <v>15</v>
      </c>
      <c r="C46" s="15">
        <v>9.07</v>
      </c>
      <c r="D46" s="3">
        <v>7027</v>
      </c>
      <c r="E46" s="15">
        <f>C46*D46</f>
        <v>63734.89</v>
      </c>
      <c r="F46" s="15">
        <v>69356.27</v>
      </c>
      <c r="G46" s="16">
        <f t="shared" si="8"/>
        <v>1.0881994147946283</v>
      </c>
      <c r="H46" s="15">
        <f t="shared" si="9"/>
        <v>1993979.1799999988</v>
      </c>
      <c r="I46" s="15">
        <f t="shared" si="9"/>
        <v>1885431.0199999996</v>
      </c>
      <c r="J46" s="15" t="s">
        <v>14</v>
      </c>
      <c r="K46" s="15">
        <f t="shared" si="10"/>
        <v>1993979.1799999988</v>
      </c>
      <c r="L46" s="15">
        <v>1865841.12</v>
      </c>
      <c r="M46" s="17">
        <f aca="true" t="shared" si="11" ref="M46:M55">I46-L46</f>
        <v>19589.89999999944</v>
      </c>
    </row>
    <row r="47" spans="1:13" ht="15">
      <c r="A47" s="15">
        <v>2019</v>
      </c>
      <c r="B47" s="15" t="s">
        <v>16</v>
      </c>
      <c r="C47" s="15">
        <v>9.07</v>
      </c>
      <c r="D47" s="3">
        <v>7027</v>
      </c>
      <c r="E47" s="15">
        <f>C47*D47</f>
        <v>63734.89</v>
      </c>
      <c r="F47" s="15">
        <v>61776.74</v>
      </c>
      <c r="G47" s="16">
        <f t="shared" si="8"/>
        <v>0.9692766395297772</v>
      </c>
      <c r="H47" s="15">
        <f aca="true" t="shared" si="12" ref="H47:H55">H46+E47</f>
        <v>2057714.0699999987</v>
      </c>
      <c r="I47" s="15">
        <f t="shared" si="9"/>
        <v>1947207.7599999995</v>
      </c>
      <c r="J47" s="15" t="s">
        <v>14</v>
      </c>
      <c r="K47" s="15">
        <f t="shared" si="10"/>
        <v>2057714.0699999987</v>
      </c>
      <c r="L47" s="15">
        <v>1930791.47</v>
      </c>
      <c r="M47" s="17">
        <f t="shared" si="11"/>
        <v>16416.28999999957</v>
      </c>
    </row>
    <row r="48" spans="1:13" ht="15">
      <c r="A48" s="15">
        <v>2019</v>
      </c>
      <c r="B48" s="15" t="s">
        <v>17</v>
      </c>
      <c r="C48" s="15">
        <v>9.07</v>
      </c>
      <c r="D48" s="3">
        <v>7027</v>
      </c>
      <c r="E48" s="15">
        <v>63734.89</v>
      </c>
      <c r="F48" s="15">
        <f>3471.63+14843.05+13016.38+9870.9+15818.08</f>
        <v>57020.04</v>
      </c>
      <c r="G48" s="16">
        <f t="shared" si="8"/>
        <v>0.8946440481814592</v>
      </c>
      <c r="H48" s="15">
        <f t="shared" si="12"/>
        <v>2121448.9599999986</v>
      </c>
      <c r="I48" s="15">
        <f aca="true" t="shared" si="13" ref="I48:I55">I47+F48</f>
        <v>2004227.7999999996</v>
      </c>
      <c r="J48" s="15" t="s">
        <v>14</v>
      </c>
      <c r="K48" s="15">
        <f t="shared" si="10"/>
        <v>2121448.9599999986</v>
      </c>
      <c r="L48" s="15">
        <f>1988409.72-1800</f>
        <v>1986609.72</v>
      </c>
      <c r="M48" s="17">
        <f t="shared" si="11"/>
        <v>17618.07999999961</v>
      </c>
    </row>
    <row r="49" spans="1:13" ht="15">
      <c r="A49" s="15">
        <v>2019</v>
      </c>
      <c r="B49" s="15" t="s">
        <v>18</v>
      </c>
      <c r="C49" s="15">
        <v>9.07</v>
      </c>
      <c r="D49" s="3">
        <v>7027</v>
      </c>
      <c r="E49" s="15">
        <v>63734.89</v>
      </c>
      <c r="F49" s="15">
        <f>13661.24+14289.33+8272.76+15860.73</f>
        <v>52084.06</v>
      </c>
      <c r="G49" s="16">
        <f t="shared" si="8"/>
        <v>0.8171985548260928</v>
      </c>
      <c r="H49" s="15">
        <f t="shared" si="12"/>
        <v>2185183.8499999987</v>
      </c>
      <c r="I49" s="15">
        <f t="shared" si="13"/>
        <v>2056311.8599999996</v>
      </c>
      <c r="J49" s="15" t="s">
        <v>14</v>
      </c>
      <c r="K49" s="15">
        <f t="shared" si="10"/>
        <v>2185183.8499999987</v>
      </c>
      <c r="L49" s="15">
        <v>2038651.13</v>
      </c>
      <c r="M49" s="17">
        <f t="shared" si="11"/>
        <v>17660.72999999975</v>
      </c>
    </row>
    <row r="50" spans="1:13" ht="15">
      <c r="A50" s="15">
        <v>2019</v>
      </c>
      <c r="B50" s="15" t="s">
        <v>19</v>
      </c>
      <c r="C50" s="15">
        <v>9.07</v>
      </c>
      <c r="D50" s="3">
        <v>7027</v>
      </c>
      <c r="E50" s="15">
        <v>63734.89</v>
      </c>
      <c r="F50" s="15">
        <f>17814.09+12366.06+8879.59+9977.92+10523.95</f>
        <v>59561.61</v>
      </c>
      <c r="G50" s="16">
        <f t="shared" si="8"/>
        <v>0.9345212645695317</v>
      </c>
      <c r="H50" s="15">
        <f t="shared" si="12"/>
        <v>2248918.739999999</v>
      </c>
      <c r="I50" s="15">
        <f t="shared" si="13"/>
        <v>2115873.4699999997</v>
      </c>
      <c r="J50" s="15" t="s">
        <v>14</v>
      </c>
      <c r="K50" s="15">
        <f t="shared" si="10"/>
        <v>2248918.739999999</v>
      </c>
      <c r="L50" s="15">
        <v>2103549.52</v>
      </c>
      <c r="M50" s="17">
        <f t="shared" si="11"/>
        <v>12323.94999999972</v>
      </c>
    </row>
    <row r="51" spans="1:13" ht="15">
      <c r="A51" s="15">
        <v>2019</v>
      </c>
      <c r="B51" s="15" t="s">
        <v>20</v>
      </c>
      <c r="C51" s="15">
        <v>9.07</v>
      </c>
      <c r="D51" s="3">
        <v>7027</v>
      </c>
      <c r="E51" s="15">
        <v>63734.89</v>
      </c>
      <c r="F51" s="15">
        <f>8091.36+15710.17+11566.97+5379.42+16362.31</f>
        <v>57110.229999999996</v>
      </c>
      <c r="G51" s="16">
        <f t="shared" si="8"/>
        <v>0.8960591286813234</v>
      </c>
      <c r="H51" s="15">
        <f t="shared" si="12"/>
        <v>2312653.629999999</v>
      </c>
      <c r="I51" s="15">
        <f t="shared" si="13"/>
        <v>2172983.6999999997</v>
      </c>
      <c r="J51" s="15" t="s">
        <v>14</v>
      </c>
      <c r="K51" s="15">
        <f t="shared" si="10"/>
        <v>2312653.629999999</v>
      </c>
      <c r="L51" s="15">
        <v>2156621.39</v>
      </c>
      <c r="M51" s="17">
        <f t="shared" si="11"/>
        <v>16362.30999999959</v>
      </c>
    </row>
    <row r="52" spans="1:13" ht="15">
      <c r="A52" s="15">
        <v>2019</v>
      </c>
      <c r="B52" s="15" t="s">
        <v>21</v>
      </c>
      <c r="C52" s="15">
        <v>9.07</v>
      </c>
      <c r="D52" s="3">
        <v>7027</v>
      </c>
      <c r="E52" s="15">
        <v>63734.89</v>
      </c>
      <c r="F52" s="15">
        <f>18334.99+24184.26+10407.85+12898.26+3328.69</f>
        <v>69154.05</v>
      </c>
      <c r="G52" s="16">
        <f t="shared" si="8"/>
        <v>1.0850265843402256</v>
      </c>
      <c r="H52" s="15">
        <f t="shared" si="12"/>
        <v>2376388.519999999</v>
      </c>
      <c r="I52" s="15">
        <f t="shared" si="13"/>
        <v>2242137.7499999995</v>
      </c>
      <c r="J52" s="15" t="s">
        <v>14</v>
      </c>
      <c r="K52" s="15">
        <f t="shared" si="10"/>
        <v>2376388.519999999</v>
      </c>
      <c r="L52" s="15">
        <v>2229239.49</v>
      </c>
      <c r="M52" s="17">
        <f t="shared" si="11"/>
        <v>12898.25999999931</v>
      </c>
    </row>
    <row r="53" spans="1:13" ht="15">
      <c r="A53" s="15">
        <v>2019</v>
      </c>
      <c r="B53" s="15" t="s">
        <v>22</v>
      </c>
      <c r="C53" s="15">
        <v>9.07</v>
      </c>
      <c r="D53" s="3">
        <v>7027</v>
      </c>
      <c r="E53" s="15">
        <v>63734.89</v>
      </c>
      <c r="F53" s="15">
        <f>24984.88+11547.93+7918.12+9846.43+15429.87</f>
        <v>69727.23</v>
      </c>
      <c r="G53" s="16">
        <f t="shared" si="8"/>
        <v>1.0940197747262135</v>
      </c>
      <c r="H53" s="15">
        <f t="shared" si="12"/>
        <v>2440123.409999999</v>
      </c>
      <c r="I53" s="15">
        <f t="shared" si="13"/>
        <v>2311864.9799999995</v>
      </c>
      <c r="J53" s="15" t="s">
        <v>14</v>
      </c>
      <c r="K53" s="15">
        <f t="shared" si="10"/>
        <v>2440123.409999999</v>
      </c>
      <c r="L53" s="15">
        <v>2296435.11</v>
      </c>
      <c r="M53" s="17">
        <f t="shared" si="11"/>
        <v>15429.869999999646</v>
      </c>
    </row>
    <row r="54" spans="1:13" ht="15">
      <c r="A54" s="15">
        <v>2019</v>
      </c>
      <c r="B54" s="15" t="s">
        <v>23</v>
      </c>
      <c r="C54" s="15">
        <v>9.07</v>
      </c>
      <c r="D54" s="3">
        <v>7027</v>
      </c>
      <c r="E54" s="15">
        <v>63734.89</v>
      </c>
      <c r="F54" s="15">
        <f>24661.91+16845.88+7257.82+14185.08</f>
        <v>62950.69</v>
      </c>
      <c r="G54" s="16">
        <f t="shared" si="8"/>
        <v>0.9876959072181658</v>
      </c>
      <c r="H54" s="15">
        <f t="shared" si="12"/>
        <v>2503858.2999999993</v>
      </c>
      <c r="I54" s="15">
        <f t="shared" si="13"/>
        <v>2374815.6699999995</v>
      </c>
      <c r="J54" s="15" t="s">
        <v>14</v>
      </c>
      <c r="K54" s="15">
        <f>K53+E53</f>
        <v>2503858.2999999993</v>
      </c>
      <c r="L54" s="15">
        <v>2360630.59</v>
      </c>
      <c r="M54" s="17">
        <f>I54-L54</f>
        <v>14185.079999999609</v>
      </c>
    </row>
    <row r="55" spans="1:13" ht="15">
      <c r="A55" s="15">
        <v>2019</v>
      </c>
      <c r="B55" s="15" t="s">
        <v>24</v>
      </c>
      <c r="C55" s="15">
        <v>9.07</v>
      </c>
      <c r="D55" s="3">
        <v>7027</v>
      </c>
      <c r="E55" s="15">
        <v>63734.89</v>
      </c>
      <c r="F55" s="15">
        <f>16157.29+19011.66+17731.88+36153.97+4152.26</f>
        <v>93207.06</v>
      </c>
      <c r="G55" s="16">
        <f t="shared" si="8"/>
        <v>1.462418151188462</v>
      </c>
      <c r="H55" s="15">
        <f t="shared" si="12"/>
        <v>2567593.1899999995</v>
      </c>
      <c r="I55" s="15">
        <f t="shared" si="13"/>
        <v>2468022.7299999995</v>
      </c>
      <c r="J55" s="15" t="s">
        <v>14</v>
      </c>
      <c r="K55" s="15">
        <f>K54+E54</f>
        <v>2567593.1899999995</v>
      </c>
      <c r="L55" s="15">
        <v>2467670.47</v>
      </c>
      <c r="M55" s="17">
        <f t="shared" si="11"/>
        <v>352.2599999993108</v>
      </c>
    </row>
    <row r="56" spans="1:12" s="14" customFormat="1" ht="15">
      <c r="A56" s="11"/>
      <c r="B56" s="11" t="s">
        <v>30</v>
      </c>
      <c r="C56" s="11"/>
      <c r="D56" s="11"/>
      <c r="E56" s="11">
        <f>SUM(E44:E55)</f>
        <v>764818.68</v>
      </c>
      <c r="F56" s="11">
        <f>SUM(F44:F55)</f>
        <v>754977.02</v>
      </c>
      <c r="G56" s="13">
        <f t="shared" si="8"/>
        <v>0.987132035007304</v>
      </c>
      <c r="H56" s="11"/>
      <c r="I56" s="11"/>
      <c r="J56" s="11"/>
      <c r="K56" s="11"/>
      <c r="L56" s="11"/>
    </row>
    <row r="58" spans="1:12" ht="15">
      <c r="A58" s="22" t="s">
        <v>33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3" ht="15">
      <c r="A59" s="15">
        <v>2020</v>
      </c>
      <c r="B59" s="15" t="s">
        <v>26</v>
      </c>
      <c r="C59" s="15">
        <v>9.07</v>
      </c>
      <c r="D59" s="3">
        <v>7027</v>
      </c>
      <c r="E59" s="15">
        <f>C59*D59</f>
        <v>63734.89</v>
      </c>
      <c r="F59" s="15">
        <f>5526.36+9750.27+10521.24+19762.67</f>
        <v>45560.54</v>
      </c>
      <c r="G59" s="16">
        <f>F59/E59*100%</f>
        <v>0.7148445694344181</v>
      </c>
      <c r="H59" s="15">
        <f>H55+E59</f>
        <v>2631328.0799999996</v>
      </c>
      <c r="I59" s="15">
        <f>I55+F59</f>
        <v>2513583.2699999996</v>
      </c>
      <c r="J59" s="15" t="s">
        <v>14</v>
      </c>
      <c r="K59" s="15">
        <f>K55+E59</f>
        <v>2631328.0799999996</v>
      </c>
      <c r="L59" s="15">
        <v>2495820.6</v>
      </c>
      <c r="M59">
        <f aca="true" t="shared" si="14" ref="M59:M64">I59-L59</f>
        <v>17762.66999999946</v>
      </c>
    </row>
    <row r="60" spans="1:13" ht="15">
      <c r="A60" s="15">
        <v>2020</v>
      </c>
      <c r="B60" s="15" t="s">
        <v>13</v>
      </c>
      <c r="C60" s="15">
        <v>9.07</v>
      </c>
      <c r="D60" s="3">
        <v>7027</v>
      </c>
      <c r="E60" s="15">
        <f>C60*D60</f>
        <v>63734.89</v>
      </c>
      <c r="F60" s="15">
        <f>20041.09+17458.86+7698.63+14920.17</f>
        <v>60118.74999999999</v>
      </c>
      <c r="G60" s="16">
        <f aca="true" t="shared" si="15" ref="G60:G71">F60/E60*100%</f>
        <v>0.9432627874622518</v>
      </c>
      <c r="H60" s="15">
        <f aca="true" t="shared" si="16" ref="H60:H65">H59+E60</f>
        <v>2695062.9699999997</v>
      </c>
      <c r="I60" s="15">
        <f>I59+F60</f>
        <v>2573702.0199999996</v>
      </c>
      <c r="J60" s="15" t="s">
        <v>14</v>
      </c>
      <c r="K60" s="15">
        <f aca="true" t="shared" si="17" ref="K60:K66">K59+E60</f>
        <v>2695062.9699999997</v>
      </c>
      <c r="L60" s="15">
        <v>2560781.85</v>
      </c>
      <c r="M60">
        <f t="shared" si="14"/>
        <v>12920.16999999946</v>
      </c>
    </row>
    <row r="61" spans="1:13" ht="15">
      <c r="A61" s="15">
        <v>2020</v>
      </c>
      <c r="B61" s="15" t="s">
        <v>15</v>
      </c>
      <c r="C61" s="15">
        <v>9.07</v>
      </c>
      <c r="D61" s="3">
        <v>7027</v>
      </c>
      <c r="E61" s="15">
        <f>C61*D61</f>
        <v>63734.89</v>
      </c>
      <c r="F61" s="15">
        <f>20890.96+15918.77+13506.12+21527.68</f>
        <v>71843.53</v>
      </c>
      <c r="G61" s="16">
        <f t="shared" si="15"/>
        <v>1.1272245076440863</v>
      </c>
      <c r="H61" s="15">
        <f t="shared" si="16"/>
        <v>2758797.86</v>
      </c>
      <c r="I61" s="15">
        <f>I60+F61</f>
        <v>2645545.5499999993</v>
      </c>
      <c r="J61" s="15" t="s">
        <v>14</v>
      </c>
      <c r="K61" s="15">
        <f t="shared" si="17"/>
        <v>2758797.86</v>
      </c>
      <c r="L61" s="15">
        <f>2626017.87</f>
        <v>2626017.87</v>
      </c>
      <c r="M61">
        <f t="shared" si="14"/>
        <v>19527.679999999236</v>
      </c>
    </row>
    <row r="62" spans="1:13" ht="15">
      <c r="A62" s="15">
        <v>2020</v>
      </c>
      <c r="B62" s="15" t="s">
        <v>16</v>
      </c>
      <c r="C62" s="15">
        <v>9.07</v>
      </c>
      <c r="D62" s="3">
        <v>7027</v>
      </c>
      <c r="E62" s="15">
        <v>0</v>
      </c>
      <c r="F62" s="19">
        <f>3035.73+11452.71+8021.52+2042.57+10957.47</f>
        <v>35510</v>
      </c>
      <c r="G62" s="16"/>
      <c r="H62" s="15">
        <f t="shared" si="16"/>
        <v>2758797.86</v>
      </c>
      <c r="I62" s="15">
        <f>I61+F62</f>
        <v>2681055.5499999993</v>
      </c>
      <c r="J62" s="15" t="s">
        <v>14</v>
      </c>
      <c r="K62" s="15">
        <f t="shared" si="17"/>
        <v>2758797.86</v>
      </c>
      <c r="L62" s="15">
        <v>2672098.08</v>
      </c>
      <c r="M62">
        <f t="shared" si="14"/>
        <v>8957.469999999274</v>
      </c>
    </row>
    <row r="63" spans="1:13" ht="15">
      <c r="A63" s="15">
        <v>2020</v>
      </c>
      <c r="B63" s="15" t="s">
        <v>17</v>
      </c>
      <c r="C63" s="15">
        <v>9.07</v>
      </c>
      <c r="D63" s="3">
        <v>7027</v>
      </c>
      <c r="E63" s="15">
        <v>0</v>
      </c>
      <c r="F63" s="15">
        <f>6662.81+3014.87+4742.7+1859.36</f>
        <v>16279.740000000002</v>
      </c>
      <c r="G63" s="16"/>
      <c r="H63" s="15">
        <f t="shared" si="16"/>
        <v>2758797.86</v>
      </c>
      <c r="I63" s="15">
        <f aca="true" t="shared" si="18" ref="I63:I69">I62+F63</f>
        <v>2697335.2899999996</v>
      </c>
      <c r="J63" s="15" t="s">
        <v>14</v>
      </c>
      <c r="K63" s="15">
        <f t="shared" si="17"/>
        <v>2758797.86</v>
      </c>
      <c r="L63" s="15">
        <v>2695475.93</v>
      </c>
      <c r="M63">
        <f t="shared" si="14"/>
        <v>1859.359999999404</v>
      </c>
    </row>
    <row r="64" spans="1:13" ht="15">
      <c r="A64" s="15">
        <v>2020</v>
      </c>
      <c r="B64" s="15" t="s">
        <v>18</v>
      </c>
      <c r="C64" s="15">
        <v>9.07</v>
      </c>
      <c r="D64" s="3">
        <v>7027</v>
      </c>
      <c r="E64" s="15">
        <v>0</v>
      </c>
      <c r="F64" s="15">
        <f>2919.63+466.2+488.87</f>
        <v>3874.7</v>
      </c>
      <c r="G64" s="16"/>
      <c r="H64" s="15">
        <f t="shared" si="16"/>
        <v>2758797.86</v>
      </c>
      <c r="I64" s="15">
        <f t="shared" si="18"/>
        <v>2701209.9899999998</v>
      </c>
      <c r="J64" s="15" t="s">
        <v>14</v>
      </c>
      <c r="K64" s="15">
        <f t="shared" si="17"/>
        <v>2758797.86</v>
      </c>
      <c r="L64" s="15">
        <v>2703009.99</v>
      </c>
      <c r="M64">
        <f t="shared" si="14"/>
        <v>-1800.0000000004657</v>
      </c>
    </row>
    <row r="65" spans="1:13" ht="15">
      <c r="A65" s="15">
        <v>2020</v>
      </c>
      <c r="B65" s="15" t="s">
        <v>19</v>
      </c>
      <c r="C65" s="15">
        <v>9.07</v>
      </c>
      <c r="D65" s="3">
        <v>7027</v>
      </c>
      <c r="E65" s="15">
        <f aca="true" t="shared" si="19" ref="E65:E70">C65*D65</f>
        <v>63734.89</v>
      </c>
      <c r="F65" s="15">
        <f>3159.08+13862.63+3437.53</f>
        <v>20459.239999999998</v>
      </c>
      <c r="G65" s="16">
        <f t="shared" si="15"/>
        <v>0.3210053394616355</v>
      </c>
      <c r="H65" s="15">
        <f t="shared" si="16"/>
        <v>2822532.75</v>
      </c>
      <c r="I65" s="15">
        <f t="shared" si="18"/>
        <v>2721669.23</v>
      </c>
      <c r="J65" s="15" t="s">
        <v>14</v>
      </c>
      <c r="K65" s="15">
        <f t="shared" si="17"/>
        <v>2822532.75</v>
      </c>
      <c r="L65" s="15">
        <v>2704369.07</v>
      </c>
      <c r="M65">
        <f>I65-L65</f>
        <v>17300.16000000015</v>
      </c>
    </row>
    <row r="66" spans="1:13" ht="15">
      <c r="A66" s="15">
        <v>2020</v>
      </c>
      <c r="B66" s="15" t="s">
        <v>20</v>
      </c>
      <c r="C66" s="15">
        <v>9.07</v>
      </c>
      <c r="D66" s="3">
        <v>7027</v>
      </c>
      <c r="E66" s="15">
        <f t="shared" si="19"/>
        <v>63734.89</v>
      </c>
      <c r="F66" s="15">
        <f>14744.19+9472.72+7850.1+20168.05</f>
        <v>52235.06</v>
      </c>
      <c r="G66" s="16">
        <f t="shared" si="15"/>
        <v>0.8195677438213198</v>
      </c>
      <c r="H66" s="15">
        <f>H65+E66</f>
        <v>2886267.64</v>
      </c>
      <c r="I66" s="15">
        <f t="shared" si="18"/>
        <v>2773904.29</v>
      </c>
      <c r="J66" s="15" t="s">
        <v>14</v>
      </c>
      <c r="K66" s="15">
        <f t="shared" si="17"/>
        <v>2886267.64</v>
      </c>
      <c r="L66" s="15">
        <v>2751936.24</v>
      </c>
      <c r="M66">
        <f>I66-L66</f>
        <v>21968.049999999814</v>
      </c>
    </row>
    <row r="67" spans="1:13" ht="15">
      <c r="A67" s="15">
        <v>2020</v>
      </c>
      <c r="B67" s="15" t="s">
        <v>21</v>
      </c>
      <c r="C67" s="15">
        <v>9.07</v>
      </c>
      <c r="D67" s="3">
        <v>7027</v>
      </c>
      <c r="E67" s="15">
        <f t="shared" si="19"/>
        <v>63734.89</v>
      </c>
      <c r="F67" s="15">
        <f>14783.19+13252.2+6134.96+11239.56+11274.93</f>
        <v>56684.84</v>
      </c>
      <c r="G67" s="16">
        <f t="shared" si="15"/>
        <v>0.8893847624119222</v>
      </c>
      <c r="H67" s="15">
        <f>H66+E67</f>
        <v>2950002.5300000003</v>
      </c>
      <c r="I67" s="15">
        <f t="shared" si="18"/>
        <v>2830589.13</v>
      </c>
      <c r="J67" s="15" t="s">
        <v>14</v>
      </c>
      <c r="K67" s="15">
        <f>K66+E67</f>
        <v>2950002.5300000003</v>
      </c>
      <c r="L67" s="15">
        <v>2830154.71</v>
      </c>
      <c r="M67">
        <f>I67-L67</f>
        <v>434.4199999999255</v>
      </c>
    </row>
    <row r="68" spans="1:13" ht="15">
      <c r="A68" s="15">
        <v>2020</v>
      </c>
      <c r="B68" s="15" t="s">
        <v>22</v>
      </c>
      <c r="C68" s="15">
        <v>9.07</v>
      </c>
      <c r="D68" s="3">
        <v>7027</v>
      </c>
      <c r="E68" s="15">
        <f t="shared" si="19"/>
        <v>63734.89</v>
      </c>
      <c r="F68" s="15">
        <f>8592.93+14734.25+13421.83+5829.31+21563.02</f>
        <v>64141.34</v>
      </c>
      <c r="G68" s="16">
        <f t="shared" si="15"/>
        <v>1.0063771977954303</v>
      </c>
      <c r="H68" s="15">
        <f>H67+E68</f>
        <v>3013737.4200000004</v>
      </c>
      <c r="I68" s="15">
        <f t="shared" si="18"/>
        <v>2894730.4699999997</v>
      </c>
      <c r="J68" s="15" t="s">
        <v>14</v>
      </c>
      <c r="K68" s="15">
        <f>K67+E68</f>
        <v>3013737.4200000004</v>
      </c>
      <c r="L68" s="15">
        <v>2871367.45</v>
      </c>
      <c r="M68">
        <f>I68-L68</f>
        <v>23363.019999999553</v>
      </c>
    </row>
    <row r="69" spans="1:13" ht="15">
      <c r="A69" s="15">
        <v>2020</v>
      </c>
      <c r="B69" s="15" t="s">
        <v>23</v>
      </c>
      <c r="C69" s="15">
        <v>9.07</v>
      </c>
      <c r="D69" s="3">
        <v>7027</v>
      </c>
      <c r="E69" s="15">
        <f t="shared" si="19"/>
        <v>63734.89</v>
      </c>
      <c r="F69" s="15">
        <f>67450.94</f>
        <v>67450.94</v>
      </c>
      <c r="G69" s="16">
        <f t="shared" si="15"/>
        <v>1.0583047997729345</v>
      </c>
      <c r="H69" s="15">
        <f>H68+E69</f>
        <v>3077472.3100000005</v>
      </c>
      <c r="I69" s="15">
        <f t="shared" si="18"/>
        <v>2962181.4099999997</v>
      </c>
      <c r="J69" s="15" t="s">
        <v>14</v>
      </c>
      <c r="K69" s="15">
        <f>K68+E69</f>
        <v>3077472.3100000005</v>
      </c>
      <c r="L69" s="15">
        <v>2959087.63</v>
      </c>
      <c r="M69">
        <f>I69-L69</f>
        <v>3093.779999999795</v>
      </c>
    </row>
    <row r="70" spans="1:13" ht="15">
      <c r="A70" s="15">
        <v>2020</v>
      </c>
      <c r="B70" s="15" t="s">
        <v>24</v>
      </c>
      <c r="C70" s="15">
        <v>9.07</v>
      </c>
      <c r="D70" s="3">
        <v>7027</v>
      </c>
      <c r="E70" s="15">
        <f t="shared" si="19"/>
        <v>63734.89</v>
      </c>
      <c r="F70" s="15">
        <f>15034.42+7408.37+15429.93+32476.05+10191.98</f>
        <v>80540.75</v>
      </c>
      <c r="G70" s="16">
        <f t="shared" si="15"/>
        <v>1.263683831571687</v>
      </c>
      <c r="H70" s="15">
        <f>H69+E70</f>
        <v>3141207.2000000007</v>
      </c>
      <c r="I70" s="15">
        <f>I69+F70</f>
        <v>3042722.1599999997</v>
      </c>
      <c r="J70" s="15" t="s">
        <v>14</v>
      </c>
      <c r="K70" s="15">
        <f>K69+E70</f>
        <v>3141207.2000000007</v>
      </c>
      <c r="L70" s="15">
        <v>3032530.18</v>
      </c>
      <c r="M70">
        <f>I70-L70</f>
        <v>10191.979999999516</v>
      </c>
    </row>
    <row r="71" spans="1:12" ht="15">
      <c r="A71" s="11"/>
      <c r="B71" s="11" t="s">
        <v>30</v>
      </c>
      <c r="C71" s="11"/>
      <c r="D71" s="11"/>
      <c r="E71" s="11">
        <f>SUM(E59:E70)</f>
        <v>573614.01</v>
      </c>
      <c r="F71" s="11">
        <f>SUM(F59:F70)</f>
        <v>574699.4299999999</v>
      </c>
      <c r="G71" s="13">
        <f t="shared" si="15"/>
        <v>1.001892248064164</v>
      </c>
      <c r="H71" s="11"/>
      <c r="I71" s="11"/>
      <c r="J71" s="11"/>
      <c r="K71" s="11"/>
      <c r="L71" s="11"/>
    </row>
    <row r="73" spans="1:12" ht="15">
      <c r="A73" s="22" t="s">
        <v>34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3" ht="15">
      <c r="A74" s="15">
        <v>2021</v>
      </c>
      <c r="B74" s="15" t="s">
        <v>26</v>
      </c>
      <c r="C74" s="15">
        <v>9.07</v>
      </c>
      <c r="D74" s="3">
        <v>7027</v>
      </c>
      <c r="E74" s="15">
        <f aca="true" t="shared" si="20" ref="E74:E85">C74*D74</f>
        <v>63734.89</v>
      </c>
      <c r="F74" s="15">
        <f>4564.93+11128.01+5017.54+26422.47</f>
        <v>47132.95</v>
      </c>
      <c r="G74" s="16">
        <f>F74/E74*100%</f>
        <v>0.7395156718714035</v>
      </c>
      <c r="H74" s="15">
        <f>H70+E74</f>
        <v>3204942.090000001</v>
      </c>
      <c r="I74" s="15">
        <f>I70+F74</f>
        <v>3089855.11</v>
      </c>
      <c r="J74" s="15" t="s">
        <v>14</v>
      </c>
      <c r="K74" s="15">
        <f>K70+E74</f>
        <v>3204942.090000001</v>
      </c>
      <c r="L74" s="15">
        <v>3063432.64</v>
      </c>
      <c r="M74">
        <f aca="true" t="shared" si="21" ref="M74:M85">L74-I74</f>
        <v>-26422.46999999974</v>
      </c>
    </row>
    <row r="75" spans="1:13" ht="15">
      <c r="A75" s="15">
        <v>2021</v>
      </c>
      <c r="B75" s="15" t="s">
        <v>13</v>
      </c>
      <c r="C75" s="15">
        <v>9.07</v>
      </c>
      <c r="D75" s="3">
        <v>7027</v>
      </c>
      <c r="E75" s="15">
        <f t="shared" si="20"/>
        <v>63734.89</v>
      </c>
      <c r="F75" s="15">
        <f>11063.6+18482.86+5529.09+19881.46</f>
        <v>54957.01</v>
      </c>
      <c r="G75" s="16">
        <f aca="true" t="shared" si="22" ref="G75:G84">F75/E75*100%</f>
        <v>0.8622751212091211</v>
      </c>
      <c r="H75" s="15">
        <f aca="true" t="shared" si="23" ref="H75:H85">H74+E75</f>
        <v>3268676.980000001</v>
      </c>
      <c r="I75" s="15">
        <f aca="true" t="shared" si="24" ref="I75:I85">I74+F75</f>
        <v>3144812.1199999996</v>
      </c>
      <c r="J75" s="15" t="s">
        <v>14</v>
      </c>
      <c r="K75" s="15">
        <f aca="true" t="shared" si="25" ref="K75:K81">K74+E75</f>
        <v>3268676.980000001</v>
      </c>
      <c r="L75" s="15">
        <v>3124930.66</v>
      </c>
      <c r="M75">
        <f t="shared" si="21"/>
        <v>-19881.459999999497</v>
      </c>
    </row>
    <row r="76" spans="1:13" ht="15">
      <c r="A76" s="15">
        <v>2021</v>
      </c>
      <c r="B76" s="15" t="s">
        <v>15</v>
      </c>
      <c r="C76" s="15">
        <v>9.07</v>
      </c>
      <c r="D76" s="3">
        <v>7027</v>
      </c>
      <c r="E76" s="15">
        <f t="shared" si="20"/>
        <v>63734.89</v>
      </c>
      <c r="F76" s="15">
        <f>14850.31+9982.45+13657.65+27049.49</f>
        <v>65539.90000000001</v>
      </c>
      <c r="G76" s="16">
        <f t="shared" si="22"/>
        <v>1.0283205948892358</v>
      </c>
      <c r="H76" s="15">
        <f t="shared" si="23"/>
        <v>3332411.870000001</v>
      </c>
      <c r="I76" s="15">
        <f t="shared" si="24"/>
        <v>3210352.0199999996</v>
      </c>
      <c r="J76" s="15" t="s">
        <v>14</v>
      </c>
      <c r="K76" s="15">
        <f t="shared" si="25"/>
        <v>3332411.870000001</v>
      </c>
      <c r="L76" s="15">
        <v>3202800.32</v>
      </c>
      <c r="M76">
        <f t="shared" si="21"/>
        <v>-7551.699999999721</v>
      </c>
    </row>
    <row r="77" spans="1:13" ht="15">
      <c r="A77" s="15">
        <v>2021</v>
      </c>
      <c r="B77" s="15" t="s">
        <v>16</v>
      </c>
      <c r="C77" s="15">
        <v>9.07</v>
      </c>
      <c r="D77" s="3">
        <v>7027</v>
      </c>
      <c r="E77" s="15">
        <f t="shared" si="20"/>
        <v>63734.89</v>
      </c>
      <c r="F77" s="19">
        <f>6046.06+18657.93+8953.93+4586.7+22666.84</f>
        <v>60911.45999999999</v>
      </c>
      <c r="G77" s="16">
        <f t="shared" si="22"/>
        <v>0.9557004020874593</v>
      </c>
      <c r="H77" s="15">
        <f t="shared" si="23"/>
        <v>3396146.760000001</v>
      </c>
      <c r="I77" s="15">
        <f t="shared" si="24"/>
        <v>3271263.4799999995</v>
      </c>
      <c r="J77" s="15" t="s">
        <v>14</v>
      </c>
      <c r="K77" s="15">
        <f t="shared" si="25"/>
        <v>3396146.760000001</v>
      </c>
      <c r="L77" s="15">
        <v>3248596.64</v>
      </c>
      <c r="M77">
        <f t="shared" si="21"/>
        <v>-22666.839999999385</v>
      </c>
    </row>
    <row r="78" spans="1:13" ht="15">
      <c r="A78" s="15">
        <v>2021</v>
      </c>
      <c r="B78" s="15" t="s">
        <v>17</v>
      </c>
      <c r="C78" s="15">
        <v>9.07</v>
      </c>
      <c r="D78" s="3">
        <v>7027</v>
      </c>
      <c r="E78" s="15">
        <f t="shared" si="20"/>
        <v>63734.89</v>
      </c>
      <c r="F78" s="15">
        <f>14199.1+8658.24+10634.61+31023.98</f>
        <v>64515.92999999999</v>
      </c>
      <c r="G78" s="16">
        <f t="shared" si="22"/>
        <v>1.0122545124028612</v>
      </c>
      <c r="H78" s="15">
        <f t="shared" si="23"/>
        <v>3459881.6500000013</v>
      </c>
      <c r="I78" s="15">
        <f t="shared" si="24"/>
        <v>3335779.4099999997</v>
      </c>
      <c r="J78" s="15" t="s">
        <v>14</v>
      </c>
      <c r="K78" s="15">
        <f t="shared" si="25"/>
        <v>3459881.6500000013</v>
      </c>
      <c r="L78" s="15">
        <v>3304755.43</v>
      </c>
      <c r="M78">
        <f t="shared" si="21"/>
        <v>-31023.979999999516</v>
      </c>
    </row>
    <row r="79" spans="1:13" ht="15">
      <c r="A79" s="15">
        <v>2021</v>
      </c>
      <c r="B79" s="15" t="s">
        <v>18</v>
      </c>
      <c r="C79" s="15">
        <v>9.07</v>
      </c>
      <c r="D79" s="3">
        <v>7027</v>
      </c>
      <c r="E79" s="15">
        <f t="shared" si="20"/>
        <v>63734.89</v>
      </c>
      <c r="F79" s="15">
        <f>18262.48+12400.51+9752.08+11918.25+9991.51</f>
        <v>62324.83</v>
      </c>
      <c r="G79" s="16">
        <f t="shared" si="22"/>
        <v>0.9778761679827171</v>
      </c>
      <c r="H79" s="15">
        <f t="shared" si="23"/>
        <v>3523616.5400000014</v>
      </c>
      <c r="I79" s="15">
        <f t="shared" si="24"/>
        <v>3398104.2399999998</v>
      </c>
      <c r="J79" s="15" t="s">
        <v>14</v>
      </c>
      <c r="K79" s="15">
        <f t="shared" si="25"/>
        <v>3523616.5400000014</v>
      </c>
      <c r="L79" s="15">
        <v>3388112.73</v>
      </c>
      <c r="M79">
        <f t="shared" si="21"/>
        <v>-9991.509999999776</v>
      </c>
    </row>
    <row r="80" spans="1:13" ht="15">
      <c r="A80" s="15">
        <v>2021</v>
      </c>
      <c r="B80" s="15" t="s">
        <v>19</v>
      </c>
      <c r="C80" s="15">
        <v>9.07</v>
      </c>
      <c r="D80" s="3">
        <v>7027</v>
      </c>
      <c r="E80" s="15">
        <f t="shared" si="20"/>
        <v>63734.89</v>
      </c>
      <c r="F80" s="15">
        <f>17910.55+12038.63+11441.83+4340.01+20022.03</f>
        <v>65753.05</v>
      </c>
      <c r="G80" s="16">
        <f t="shared" si="22"/>
        <v>1.0316649169709087</v>
      </c>
      <c r="H80" s="15">
        <f t="shared" si="23"/>
        <v>3587351.4300000016</v>
      </c>
      <c r="I80" s="15">
        <f t="shared" si="24"/>
        <v>3463857.2899999996</v>
      </c>
      <c r="J80" s="15" t="s">
        <v>14</v>
      </c>
      <c r="K80" s="15">
        <f t="shared" si="25"/>
        <v>3587351.4300000016</v>
      </c>
      <c r="L80" s="15">
        <v>3443835.26</v>
      </c>
      <c r="M80">
        <f t="shared" si="21"/>
        <v>-20022.029999999795</v>
      </c>
    </row>
    <row r="81" spans="1:13" ht="15">
      <c r="A81" s="15">
        <v>2021</v>
      </c>
      <c r="B81" s="15" t="s">
        <v>20</v>
      </c>
      <c r="C81" s="15">
        <v>9.07</v>
      </c>
      <c r="D81" s="3">
        <v>7027</v>
      </c>
      <c r="E81" s="15">
        <f t="shared" si="20"/>
        <v>63734.89</v>
      </c>
      <c r="F81" s="15">
        <f>16788.59+13147.9+5734.97+27629.07</f>
        <v>63300.53</v>
      </c>
      <c r="G81" s="16">
        <f t="shared" si="22"/>
        <v>0.9931848944902862</v>
      </c>
      <c r="H81" s="15">
        <f t="shared" si="23"/>
        <v>3651086.3200000017</v>
      </c>
      <c r="I81" s="15">
        <f t="shared" si="24"/>
        <v>3527157.8199999994</v>
      </c>
      <c r="J81" s="15" t="s">
        <v>14</v>
      </c>
      <c r="K81" s="15">
        <f t="shared" si="25"/>
        <v>3651086.3200000017</v>
      </c>
      <c r="L81" s="15">
        <v>3523036.4</v>
      </c>
      <c r="M81">
        <f t="shared" si="21"/>
        <v>-4121.41999999946</v>
      </c>
    </row>
    <row r="82" spans="1:13" ht="15">
      <c r="A82" s="15">
        <v>2021</v>
      </c>
      <c r="B82" s="15" t="s">
        <v>21</v>
      </c>
      <c r="C82" s="15">
        <v>9.07</v>
      </c>
      <c r="D82" s="3">
        <v>7027</v>
      </c>
      <c r="E82" s="15">
        <f t="shared" si="20"/>
        <v>63734.89</v>
      </c>
      <c r="F82" s="15">
        <f>8419.67+11078.11+5835.66+6130.45+17832.55</f>
        <v>49296.44</v>
      </c>
      <c r="G82" s="16">
        <f t="shared" si="22"/>
        <v>0.7734608155752681</v>
      </c>
      <c r="H82" s="15">
        <f t="shared" si="23"/>
        <v>3714821.210000002</v>
      </c>
      <c r="I82" s="15">
        <f t="shared" si="24"/>
        <v>3576454.2599999993</v>
      </c>
      <c r="J82" s="15" t="s">
        <v>14</v>
      </c>
      <c r="K82" s="15">
        <f>K81+E82</f>
        <v>3714821.210000002</v>
      </c>
      <c r="L82" s="15">
        <v>3558621.71</v>
      </c>
      <c r="M82">
        <f t="shared" si="21"/>
        <v>-17832.549999999348</v>
      </c>
    </row>
    <row r="83" spans="1:13" ht="15">
      <c r="A83" s="15">
        <v>2021</v>
      </c>
      <c r="B83" s="15" t="s">
        <v>22</v>
      </c>
      <c r="C83" s="15">
        <v>9.07</v>
      </c>
      <c r="D83" s="3">
        <v>7027</v>
      </c>
      <c r="E83" s="15">
        <f t="shared" si="20"/>
        <v>63734.89</v>
      </c>
      <c r="F83" s="15">
        <f>6180.3+23882.23+10259.1+3617.11+22999.75</f>
        <v>66938.48999999999</v>
      </c>
      <c r="G83" s="16">
        <f t="shared" si="22"/>
        <v>1.0502644626828412</v>
      </c>
      <c r="H83" s="15">
        <f t="shared" si="23"/>
        <v>3778556.100000002</v>
      </c>
      <c r="I83" s="15">
        <f t="shared" si="24"/>
        <v>3643392.749999999</v>
      </c>
      <c r="J83" s="15" t="s">
        <v>14</v>
      </c>
      <c r="K83" s="15">
        <f>K82+E83</f>
        <v>3778556.100000002</v>
      </c>
      <c r="L83" s="15">
        <v>3620393</v>
      </c>
      <c r="M83">
        <f t="shared" si="21"/>
        <v>-22999.74999999907</v>
      </c>
    </row>
    <row r="84" spans="1:13" ht="15">
      <c r="A84" s="15">
        <v>2021</v>
      </c>
      <c r="B84" s="15" t="s">
        <v>23</v>
      </c>
      <c r="C84" s="15">
        <v>9.07</v>
      </c>
      <c r="D84" s="3">
        <v>7027</v>
      </c>
      <c r="E84" s="15">
        <f t="shared" si="20"/>
        <v>63734.89</v>
      </c>
      <c r="F84" s="15">
        <f>55655.41</f>
        <v>55655.41</v>
      </c>
      <c r="G84" s="16">
        <f t="shared" si="22"/>
        <v>0.8732330125618795</v>
      </c>
      <c r="H84" s="15">
        <f t="shared" si="23"/>
        <v>3842290.990000002</v>
      </c>
      <c r="I84" s="15">
        <f t="shared" si="24"/>
        <v>3699048.159999999</v>
      </c>
      <c r="J84" s="15" t="s">
        <v>14</v>
      </c>
      <c r="K84" s="15">
        <f>K83+E84</f>
        <v>3842290.990000002</v>
      </c>
      <c r="L84" s="15">
        <v>3697623.27</v>
      </c>
      <c r="M84">
        <f t="shared" si="21"/>
        <v>-1424.889999999199</v>
      </c>
    </row>
    <row r="85" spans="1:13" ht="15">
      <c r="A85" s="15">
        <v>2021</v>
      </c>
      <c r="B85" s="15" t="s">
        <v>24</v>
      </c>
      <c r="C85" s="15">
        <v>9.07</v>
      </c>
      <c r="D85" s="3">
        <v>7027</v>
      </c>
      <c r="E85" s="15">
        <f t="shared" si="20"/>
        <v>63734.89</v>
      </c>
      <c r="F85" s="15">
        <f>12730.64+18050.22+15888.89+25516.66+23065.03</f>
        <v>95251.44</v>
      </c>
      <c r="G85" s="16">
        <f>F85/E85*100%</f>
        <v>1.4944944597848997</v>
      </c>
      <c r="H85" s="15">
        <f t="shared" si="23"/>
        <v>3906025.880000002</v>
      </c>
      <c r="I85" s="15">
        <f t="shared" si="24"/>
        <v>3794299.599999999</v>
      </c>
      <c r="J85" s="15" t="s">
        <v>14</v>
      </c>
      <c r="K85" s="15">
        <f>K84+E85</f>
        <v>3906025.880000002</v>
      </c>
      <c r="L85" s="15">
        <v>3788459.42</v>
      </c>
      <c r="M85">
        <f t="shared" si="21"/>
        <v>-5840.179999999236</v>
      </c>
    </row>
    <row r="86" spans="1:12" ht="15">
      <c r="A86" s="11"/>
      <c r="B86" s="11" t="s">
        <v>30</v>
      </c>
      <c r="C86" s="11"/>
      <c r="D86" s="11"/>
      <c r="E86" s="11">
        <f>SUM(E74:E85)</f>
        <v>764818.68</v>
      </c>
      <c r="F86" s="11">
        <f>SUM(F74:F85)</f>
        <v>751577.4400000002</v>
      </c>
      <c r="G86" s="13">
        <f>F86/E86*100%</f>
        <v>0.982687086042407</v>
      </c>
      <c r="H86" s="11"/>
      <c r="I86" s="11"/>
      <c r="J86" s="11"/>
      <c r="K86" s="11"/>
      <c r="L86" s="11"/>
    </row>
    <row r="88" spans="1:12" ht="15">
      <c r="A88" s="22" t="s">
        <v>35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3" ht="15">
      <c r="A89" s="15">
        <v>2022</v>
      </c>
      <c r="B89" s="15" t="s">
        <v>26</v>
      </c>
      <c r="C89" s="15">
        <v>12</v>
      </c>
      <c r="D89" s="20">
        <v>7027.5</v>
      </c>
      <c r="E89" s="15">
        <f aca="true" t="shared" si="26" ref="E89:E100">C89*D89</f>
        <v>84330</v>
      </c>
      <c r="F89" s="15">
        <f>3060.21+13744.26+1084.77+29534.07</f>
        <v>47423.31</v>
      </c>
      <c r="G89" s="16">
        <f>F89/E89*100%</f>
        <v>0.5623539665599431</v>
      </c>
      <c r="H89" s="15">
        <f>H85+E89</f>
        <v>3990355.880000002</v>
      </c>
      <c r="I89" s="15">
        <f>I85+F89</f>
        <v>3841722.909999999</v>
      </c>
      <c r="J89" s="15" t="s">
        <v>14</v>
      </c>
      <c r="K89" s="15">
        <f>K85+E89</f>
        <v>3990355.880000002</v>
      </c>
      <c r="L89" s="15">
        <v>3812188.84</v>
      </c>
      <c r="M89">
        <f aca="true" t="shared" si="27" ref="M89:M100">L89-I89</f>
        <v>-29534.069999999367</v>
      </c>
    </row>
    <row r="90" spans="1:13" ht="15">
      <c r="A90" s="15">
        <v>2022</v>
      </c>
      <c r="B90" s="15" t="s">
        <v>13</v>
      </c>
      <c r="C90" s="15">
        <v>12</v>
      </c>
      <c r="D90" s="3">
        <v>7027.5</v>
      </c>
      <c r="E90" s="15">
        <f t="shared" si="26"/>
        <v>84330</v>
      </c>
      <c r="F90" s="15">
        <f>18705.63+18211.08+10272.47+21053.4</f>
        <v>68242.58000000002</v>
      </c>
      <c r="G90" s="16">
        <f aca="true" t="shared" si="28" ref="G90:G101">F90/E90*100%</f>
        <v>0.8092325388355273</v>
      </c>
      <c r="H90" s="15">
        <f aca="true" t="shared" si="29" ref="H90:H100">H89+E90</f>
        <v>4074685.880000002</v>
      </c>
      <c r="I90" s="15">
        <f aca="true" t="shared" si="30" ref="I90:I100">I89+F90</f>
        <v>3909965.4899999993</v>
      </c>
      <c r="J90" s="15" t="s">
        <v>14</v>
      </c>
      <c r="K90" s="15">
        <f aca="true" t="shared" si="31" ref="K90:K96">K89+E90</f>
        <v>4074685.880000002</v>
      </c>
      <c r="L90" s="15">
        <v>3888912.09</v>
      </c>
      <c r="M90">
        <f t="shared" si="27"/>
        <v>-21053.39999999944</v>
      </c>
    </row>
    <row r="91" spans="1:13" ht="15">
      <c r="A91" s="15">
        <v>2022</v>
      </c>
      <c r="B91" s="15" t="s">
        <v>15</v>
      </c>
      <c r="C91" s="15">
        <v>12</v>
      </c>
      <c r="D91" s="20">
        <v>7027.5</v>
      </c>
      <c r="E91" s="15">
        <f t="shared" si="26"/>
        <v>84330</v>
      </c>
      <c r="F91" s="15">
        <f>26094.54+23778.63+13912.1+16217.5+20655.6</f>
        <v>100658.37</v>
      </c>
      <c r="G91" s="16">
        <f t="shared" si="28"/>
        <v>1.1936246887228743</v>
      </c>
      <c r="H91" s="15">
        <f t="shared" si="29"/>
        <v>4159015.880000002</v>
      </c>
      <c r="I91" s="15">
        <f t="shared" si="30"/>
        <v>4010623.8599999994</v>
      </c>
      <c r="J91" s="15" t="s">
        <v>14</v>
      </c>
      <c r="K91" s="15">
        <f t="shared" si="31"/>
        <v>4159015.880000002</v>
      </c>
      <c r="L91" s="15">
        <v>3989968.26</v>
      </c>
      <c r="M91">
        <f t="shared" si="27"/>
        <v>-20655.599999999627</v>
      </c>
    </row>
    <row r="92" spans="1:13" ht="15">
      <c r="A92" s="15">
        <v>2022</v>
      </c>
      <c r="B92" s="15" t="s">
        <v>16</v>
      </c>
      <c r="C92" s="15">
        <v>12</v>
      </c>
      <c r="D92" s="3">
        <v>7027.5</v>
      </c>
      <c r="E92" s="15">
        <f t="shared" si="26"/>
        <v>84330</v>
      </c>
      <c r="F92" s="19">
        <f>6729.53+19377.6+8282.4+10158+35202</f>
        <v>79749.53</v>
      </c>
      <c r="G92" s="16">
        <f t="shared" si="28"/>
        <v>0.9456839796039369</v>
      </c>
      <c r="H92" s="15">
        <f t="shared" si="29"/>
        <v>4243345.880000003</v>
      </c>
      <c r="I92" s="15">
        <f t="shared" si="30"/>
        <v>4090373.389999999</v>
      </c>
      <c r="J92" s="15" t="s">
        <v>14</v>
      </c>
      <c r="K92" s="15">
        <f t="shared" si="31"/>
        <v>4243345.880000003</v>
      </c>
      <c r="L92" s="15">
        <v>4083677.39</v>
      </c>
      <c r="M92">
        <f t="shared" si="27"/>
        <v>-6695.999999999069</v>
      </c>
    </row>
    <row r="93" spans="1:13" ht="15">
      <c r="A93" s="15">
        <v>2022</v>
      </c>
      <c r="B93" s="15" t="s">
        <v>17</v>
      </c>
      <c r="C93" s="15">
        <v>12</v>
      </c>
      <c r="D93" s="20">
        <v>7027.5</v>
      </c>
      <c r="E93" s="15">
        <f t="shared" si="26"/>
        <v>84330</v>
      </c>
      <c r="F93" s="15">
        <f>8740.8+18114+7891.2+38079.6</f>
        <v>72825.6</v>
      </c>
      <c r="G93" s="16">
        <f t="shared" si="28"/>
        <v>0.8635787975809321</v>
      </c>
      <c r="H93" s="15">
        <f t="shared" si="29"/>
        <v>4327675.880000003</v>
      </c>
      <c r="I93" s="15">
        <f t="shared" si="30"/>
        <v>4163198.9899999993</v>
      </c>
      <c r="J93" s="15" t="s">
        <v>14</v>
      </c>
      <c r="K93" s="15">
        <f t="shared" si="31"/>
        <v>4327675.880000003</v>
      </c>
      <c r="L93" s="15">
        <v>4155472.19</v>
      </c>
      <c r="M93">
        <f t="shared" si="27"/>
        <v>-7726.799999999348</v>
      </c>
    </row>
    <row r="94" spans="1:13" ht="15">
      <c r="A94" s="15">
        <v>2022</v>
      </c>
      <c r="B94" s="15" t="s">
        <v>18</v>
      </c>
      <c r="C94" s="15">
        <v>12</v>
      </c>
      <c r="D94" s="3">
        <v>7027.5</v>
      </c>
      <c r="E94" s="15">
        <f t="shared" si="26"/>
        <v>84330</v>
      </c>
      <c r="F94" s="15">
        <f>80803.2</f>
        <v>80803.2</v>
      </c>
      <c r="G94" s="16">
        <f t="shared" si="28"/>
        <v>0.9581785841337602</v>
      </c>
      <c r="H94" s="15">
        <f t="shared" si="29"/>
        <v>4412005.880000003</v>
      </c>
      <c r="I94" s="15">
        <f t="shared" si="30"/>
        <v>4244002.1899999995</v>
      </c>
      <c r="J94" s="15" t="s">
        <v>14</v>
      </c>
      <c r="K94" s="15">
        <f t="shared" si="31"/>
        <v>4412005.880000003</v>
      </c>
      <c r="L94" s="15">
        <v>4221079.79</v>
      </c>
      <c r="M94">
        <f t="shared" si="27"/>
        <v>-22922.39999999944</v>
      </c>
    </row>
    <row r="95" spans="1:13" ht="15">
      <c r="A95" s="15">
        <v>2022</v>
      </c>
      <c r="B95" s="15" t="s">
        <v>19</v>
      </c>
      <c r="C95" s="15">
        <v>12</v>
      </c>
      <c r="D95" s="20">
        <v>7027.5</v>
      </c>
      <c r="E95" s="15">
        <f t="shared" si="26"/>
        <v>84330</v>
      </c>
      <c r="F95" s="15">
        <f>2838+19418.4+20109.6+10496.14+33086.4</f>
        <v>85948.54000000001</v>
      </c>
      <c r="G95" s="16">
        <f t="shared" si="28"/>
        <v>1.0191929325269775</v>
      </c>
      <c r="H95" s="15">
        <f t="shared" si="29"/>
        <v>4496335.880000003</v>
      </c>
      <c r="I95" s="15">
        <f t="shared" si="30"/>
        <v>4329950.7299999995</v>
      </c>
      <c r="J95" s="15" t="s">
        <v>14</v>
      </c>
      <c r="K95" s="15">
        <f t="shared" si="31"/>
        <v>4496335.880000003</v>
      </c>
      <c r="L95" s="15">
        <v>4296864.33</v>
      </c>
      <c r="M95">
        <f t="shared" si="27"/>
        <v>-33086.39999999944</v>
      </c>
    </row>
    <row r="96" spans="1:13" ht="15">
      <c r="A96" s="15">
        <v>2022</v>
      </c>
      <c r="B96" s="15" t="s">
        <v>20</v>
      </c>
      <c r="C96" s="15">
        <v>12</v>
      </c>
      <c r="D96" s="3">
        <v>7027.5</v>
      </c>
      <c r="E96" s="15">
        <f t="shared" si="26"/>
        <v>84330</v>
      </c>
      <c r="F96" s="15">
        <v>75233.06</v>
      </c>
      <c r="G96" s="16">
        <f t="shared" si="28"/>
        <v>0.8921268824854737</v>
      </c>
      <c r="H96" s="15">
        <f t="shared" si="29"/>
        <v>4580665.880000003</v>
      </c>
      <c r="I96" s="15">
        <f t="shared" si="30"/>
        <v>4405183.789999999</v>
      </c>
      <c r="J96" s="15" t="s">
        <v>14</v>
      </c>
      <c r="K96" s="15">
        <f t="shared" si="31"/>
        <v>4580665.880000003</v>
      </c>
      <c r="L96" s="15">
        <v>4391081.39</v>
      </c>
      <c r="M96">
        <f t="shared" si="27"/>
        <v>-14102.399999999441</v>
      </c>
    </row>
    <row r="97" spans="1:13" ht="15">
      <c r="A97" s="15">
        <v>2022</v>
      </c>
      <c r="B97" s="15" t="s">
        <v>21</v>
      </c>
      <c r="C97" s="15">
        <v>12</v>
      </c>
      <c r="D97" s="20">
        <v>7027.5</v>
      </c>
      <c r="E97" s="15">
        <f t="shared" si="26"/>
        <v>84330</v>
      </c>
      <c r="F97" s="15">
        <f>16734+8028.46+21656.4+9717.6+28683.6</f>
        <v>84820.06</v>
      </c>
      <c r="G97" s="16">
        <f t="shared" si="28"/>
        <v>1.005811217834697</v>
      </c>
      <c r="H97" s="15">
        <f t="shared" si="29"/>
        <v>4664995.880000003</v>
      </c>
      <c r="I97" s="15">
        <f t="shared" si="30"/>
        <v>4490003.849999999</v>
      </c>
      <c r="J97" s="15" t="s">
        <v>14</v>
      </c>
      <c r="K97" s="15">
        <f>K96+E97</f>
        <v>4664995.880000003</v>
      </c>
      <c r="L97" s="15">
        <v>4468347.45</v>
      </c>
      <c r="M97">
        <f t="shared" si="27"/>
        <v>-21656.39999999851</v>
      </c>
    </row>
    <row r="98" spans="1:13" ht="15">
      <c r="A98" s="15">
        <v>2022</v>
      </c>
      <c r="B98" s="15" t="s">
        <v>22</v>
      </c>
      <c r="C98" s="15">
        <v>12</v>
      </c>
      <c r="D98" s="3">
        <v>7027.5</v>
      </c>
      <c r="E98" s="15">
        <f t="shared" si="26"/>
        <v>84330</v>
      </c>
      <c r="F98" s="15">
        <f>24895.2+15578.93+19372.8+25700.4</f>
        <v>85547.33000000002</v>
      </c>
      <c r="G98" s="16">
        <f t="shared" si="28"/>
        <v>1.014435313648761</v>
      </c>
      <c r="H98" s="15">
        <f t="shared" si="29"/>
        <v>4749325.880000003</v>
      </c>
      <c r="I98" s="15">
        <f t="shared" si="30"/>
        <v>4575551.179999999</v>
      </c>
      <c r="J98" s="15" t="s">
        <v>14</v>
      </c>
      <c r="K98" s="15">
        <f>K97+E98</f>
        <v>4749325.880000003</v>
      </c>
      <c r="L98" s="15">
        <v>4573031.18</v>
      </c>
      <c r="M98">
        <f t="shared" si="27"/>
        <v>-2519.9999999990687</v>
      </c>
    </row>
    <row r="99" spans="1:13" ht="15">
      <c r="A99" s="15">
        <v>2022</v>
      </c>
      <c r="B99" s="15" t="s">
        <v>23</v>
      </c>
      <c r="C99" s="15">
        <v>12</v>
      </c>
      <c r="D99" s="20">
        <v>7027.5</v>
      </c>
      <c r="E99" s="15">
        <f t="shared" si="26"/>
        <v>84330</v>
      </c>
      <c r="F99" s="15">
        <f>15456+24793.2+22348.8+13257.6+16200</f>
        <v>92055.6</v>
      </c>
      <c r="G99" s="16">
        <f t="shared" si="28"/>
        <v>1.0916115261472785</v>
      </c>
      <c r="H99" s="15">
        <f t="shared" si="29"/>
        <v>4833655.880000003</v>
      </c>
      <c r="I99" s="15">
        <f t="shared" si="30"/>
        <v>4667606.779999998</v>
      </c>
      <c r="J99" s="15" t="s">
        <v>14</v>
      </c>
      <c r="K99" s="15">
        <f>K98+E99</f>
        <v>4833655.880000003</v>
      </c>
      <c r="L99" s="15">
        <v>4651406.78</v>
      </c>
      <c r="M99">
        <f t="shared" si="27"/>
        <v>-16199.999999998137</v>
      </c>
    </row>
    <row r="100" spans="1:13" ht="15">
      <c r="A100" s="15">
        <v>2022</v>
      </c>
      <c r="B100" s="15" t="s">
        <v>24</v>
      </c>
      <c r="C100" s="15">
        <v>14</v>
      </c>
      <c r="D100" s="3">
        <v>7027.5</v>
      </c>
      <c r="E100" s="15">
        <f t="shared" si="26"/>
        <v>98385</v>
      </c>
      <c r="F100" s="15">
        <f>11576.4+19238.4+11032.8+47765+31952.4</f>
        <v>121565</v>
      </c>
      <c r="G100" s="16">
        <f t="shared" si="28"/>
        <v>1.2356050210906133</v>
      </c>
      <c r="H100" s="15">
        <f t="shared" si="29"/>
        <v>4932040.880000003</v>
      </c>
      <c r="I100" s="15">
        <f t="shared" si="30"/>
        <v>4789171.779999998</v>
      </c>
      <c r="J100" s="15" t="s">
        <v>14</v>
      </c>
      <c r="K100" s="15">
        <f>K99+E100</f>
        <v>4932040.880000003</v>
      </c>
      <c r="L100" s="15">
        <v>4772073.58</v>
      </c>
      <c r="M100">
        <f t="shared" si="27"/>
        <v>-17098.199999998324</v>
      </c>
    </row>
    <row r="101" spans="1:12" ht="15">
      <c r="A101" s="11"/>
      <c r="B101" s="11" t="s">
        <v>30</v>
      </c>
      <c r="C101" s="11"/>
      <c r="D101" s="11"/>
      <c r="E101" s="11">
        <f>SUM(E89:E100)</f>
        <v>1026015</v>
      </c>
      <c r="F101" s="11">
        <f>SUM(F89:F100)</f>
        <v>994872.18</v>
      </c>
      <c r="G101" s="13">
        <f t="shared" si="28"/>
        <v>0.9696468180289762</v>
      </c>
      <c r="H101" s="11"/>
      <c r="I101" s="11"/>
      <c r="J101" s="11"/>
      <c r="K101" s="11"/>
      <c r="L101" s="11"/>
    </row>
    <row r="103" spans="1:12" ht="15">
      <c r="A103" s="22" t="s">
        <v>36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3" ht="15">
      <c r="A104" s="15">
        <v>2023</v>
      </c>
      <c r="B104" s="15" t="s">
        <v>26</v>
      </c>
      <c r="C104" s="15">
        <v>14</v>
      </c>
      <c r="D104" s="20">
        <v>7027.5</v>
      </c>
      <c r="E104" s="15">
        <f aca="true" t="shared" si="32" ref="E104:E115">C104*D104</f>
        <v>98385</v>
      </c>
      <c r="F104" s="15">
        <f>6868.2+8925+9443.4+38091.2</f>
        <v>63327.799999999996</v>
      </c>
      <c r="G104" s="16">
        <f>F104/E104*100%</f>
        <v>0.6436733241855973</v>
      </c>
      <c r="H104" s="15">
        <f>H100+E104</f>
        <v>5030425.880000003</v>
      </c>
      <c r="I104" s="15">
        <f>I100+F104</f>
        <v>4852499.579999998</v>
      </c>
      <c r="J104" s="15" t="s">
        <v>14</v>
      </c>
      <c r="K104" s="15">
        <f>K100+E104</f>
        <v>5030425.880000003</v>
      </c>
      <c r="L104" s="15">
        <v>4814408.38</v>
      </c>
      <c r="M104">
        <f aca="true" t="shared" si="33" ref="M104:M115">L104-I104</f>
        <v>-38091.19999999832</v>
      </c>
    </row>
    <row r="105" spans="1:13" ht="15">
      <c r="A105" s="15">
        <v>2023</v>
      </c>
      <c r="B105" s="15" t="s">
        <v>13</v>
      </c>
      <c r="C105" s="15">
        <v>14</v>
      </c>
      <c r="D105" s="3">
        <v>7027.5</v>
      </c>
      <c r="E105" s="15">
        <f t="shared" si="32"/>
        <v>98385</v>
      </c>
      <c r="F105" s="15">
        <f>16937.2+13250.2+18694.2+25621.2</f>
        <v>74502.8</v>
      </c>
      <c r="G105" s="16">
        <f aca="true" t="shared" si="34" ref="G105:G116">F105/E105*100%</f>
        <v>0.7572577120496011</v>
      </c>
      <c r="H105" s="15">
        <f aca="true" t="shared" si="35" ref="H105:H115">H104+E105</f>
        <v>5128810.880000003</v>
      </c>
      <c r="I105" s="15">
        <f aca="true" t="shared" si="36" ref="I105:I115">I104+F105</f>
        <v>4927002.379999998</v>
      </c>
      <c r="J105" s="15" t="s">
        <v>14</v>
      </c>
      <c r="K105" s="15">
        <f aca="true" t="shared" si="37" ref="K105:K111">K104+E105</f>
        <v>5128810.880000003</v>
      </c>
      <c r="L105" s="15">
        <v>4909534.58</v>
      </c>
      <c r="M105">
        <f t="shared" si="33"/>
        <v>-17467.79999999795</v>
      </c>
    </row>
    <row r="106" spans="1:13" ht="15">
      <c r="A106" s="15">
        <v>2023</v>
      </c>
      <c r="B106" s="15" t="s">
        <v>15</v>
      </c>
      <c r="C106" s="15">
        <v>14</v>
      </c>
      <c r="D106" s="20">
        <v>7027.5</v>
      </c>
      <c r="E106" s="15">
        <f t="shared" si="32"/>
        <v>98385</v>
      </c>
      <c r="F106" s="15">
        <f>19177.2+10015.6+22622.6+19762.4+29713.6</f>
        <v>101291.4</v>
      </c>
      <c r="G106" s="16">
        <f t="shared" si="34"/>
        <v>1.0295410885805762</v>
      </c>
      <c r="H106" s="15">
        <f t="shared" si="35"/>
        <v>5227195.880000003</v>
      </c>
      <c r="I106" s="15">
        <f t="shared" si="36"/>
        <v>5028293.779999998</v>
      </c>
      <c r="J106" s="15" t="s">
        <v>14</v>
      </c>
      <c r="K106" s="15">
        <f t="shared" si="37"/>
        <v>5227195.880000003</v>
      </c>
      <c r="L106" s="15">
        <v>5005671.18</v>
      </c>
      <c r="M106">
        <f t="shared" si="33"/>
        <v>-22622.599999998696</v>
      </c>
    </row>
    <row r="107" spans="1:13" ht="15">
      <c r="A107" s="15">
        <v>2023</v>
      </c>
      <c r="B107" s="15" t="s">
        <v>16</v>
      </c>
      <c r="C107" s="15">
        <v>14</v>
      </c>
      <c r="D107" s="3">
        <v>7027.5</v>
      </c>
      <c r="E107" s="15">
        <f>C107*D107</f>
        <v>98385</v>
      </c>
      <c r="F107" s="19">
        <f>99228</f>
        <v>99228</v>
      </c>
      <c r="G107" s="16">
        <f t="shared" si="34"/>
        <v>1.0085683793261169</v>
      </c>
      <c r="H107" s="15">
        <f t="shared" si="35"/>
        <v>5325580.880000003</v>
      </c>
      <c r="I107" s="15">
        <f t="shared" si="36"/>
        <v>5127521.779999998</v>
      </c>
      <c r="J107" s="15" t="s">
        <v>14</v>
      </c>
      <c r="K107" s="15">
        <f t="shared" si="37"/>
        <v>5325580.880000003</v>
      </c>
      <c r="L107" s="15">
        <v>5097726.98</v>
      </c>
      <c r="M107">
        <f t="shared" si="33"/>
        <v>-29794.79999999795</v>
      </c>
    </row>
    <row r="108" spans="1:13" ht="15">
      <c r="A108" s="15">
        <v>2023</v>
      </c>
      <c r="B108" s="15" t="s">
        <v>17</v>
      </c>
      <c r="C108" s="15">
        <v>14</v>
      </c>
      <c r="D108" s="20">
        <v>7027.5</v>
      </c>
      <c r="E108" s="15">
        <f t="shared" si="32"/>
        <v>98385</v>
      </c>
      <c r="F108" s="15">
        <v>97249.6</v>
      </c>
      <c r="G108" s="16">
        <f t="shared" si="34"/>
        <v>0.9884596229099964</v>
      </c>
      <c r="H108" s="15">
        <f t="shared" si="35"/>
        <v>5423965.880000003</v>
      </c>
      <c r="I108" s="15">
        <f t="shared" si="36"/>
        <v>5224771.379999998</v>
      </c>
      <c r="J108" s="15" t="s">
        <v>14</v>
      </c>
      <c r="K108" s="15">
        <f t="shared" si="37"/>
        <v>5423965.880000003</v>
      </c>
      <c r="L108" s="15">
        <f>27815.2+19761+14317.8+20182.4+29794.8+L107</f>
        <v>5209598.180000001</v>
      </c>
      <c r="M108">
        <f t="shared" si="33"/>
        <v>-15173.199999997392</v>
      </c>
    </row>
    <row r="109" spans="1:13" ht="15">
      <c r="A109" s="15">
        <v>2023</v>
      </c>
      <c r="B109" s="15" t="s">
        <v>18</v>
      </c>
      <c r="C109" s="15">
        <v>14</v>
      </c>
      <c r="D109" s="3">
        <v>7027.5</v>
      </c>
      <c r="E109" s="15">
        <f t="shared" si="32"/>
        <v>98385</v>
      </c>
      <c r="F109" s="15">
        <f>12367.6+35806.4+14329+15855+19363.4</f>
        <v>97721.4</v>
      </c>
      <c r="G109" s="16">
        <f t="shared" si="34"/>
        <v>0.9932550693703308</v>
      </c>
      <c r="H109" s="15">
        <f t="shared" si="35"/>
        <v>5522350.880000003</v>
      </c>
      <c r="I109" s="15">
        <f t="shared" si="36"/>
        <v>5322492.779999998</v>
      </c>
      <c r="J109" s="15" t="s">
        <v>14</v>
      </c>
      <c r="K109" s="15">
        <f t="shared" si="37"/>
        <v>5522350.880000003</v>
      </c>
      <c r="L109" s="15">
        <v>5309129.38</v>
      </c>
      <c r="M109">
        <f t="shared" si="33"/>
        <v>-13363.39999999851</v>
      </c>
    </row>
    <row r="110" spans="1:13" ht="15">
      <c r="A110" s="15">
        <v>2023</v>
      </c>
      <c r="B110" s="15" t="s">
        <v>19</v>
      </c>
      <c r="C110" s="15">
        <v>14</v>
      </c>
      <c r="D110" s="20">
        <v>7027.5</v>
      </c>
      <c r="E110" s="15">
        <f t="shared" si="32"/>
        <v>98385</v>
      </c>
      <c r="F110" s="15">
        <f>35688.8+23524.2+6522.6+36507.8</f>
        <v>102243.40000000001</v>
      </c>
      <c r="G110" s="16">
        <f t="shared" si="34"/>
        <v>1.0392173603699753</v>
      </c>
      <c r="H110" s="15">
        <f t="shared" si="35"/>
        <v>5620735.880000003</v>
      </c>
      <c r="I110" s="15">
        <f t="shared" si="36"/>
        <v>5424736.179999999</v>
      </c>
      <c r="J110" s="15" t="s">
        <v>14</v>
      </c>
      <c r="K110" s="15">
        <f t="shared" si="37"/>
        <v>5620735.880000003</v>
      </c>
      <c r="L110" s="15">
        <v>5420250.58</v>
      </c>
      <c r="M110">
        <f t="shared" si="33"/>
        <v>-4485.599999998696</v>
      </c>
    </row>
    <row r="111" spans="1:13" ht="15">
      <c r="A111" s="15">
        <v>2023</v>
      </c>
      <c r="B111" s="15" t="s">
        <v>20</v>
      </c>
      <c r="C111" s="15">
        <v>14</v>
      </c>
      <c r="D111" s="3">
        <v>7027.5</v>
      </c>
      <c r="E111" s="15">
        <f t="shared" si="32"/>
        <v>98385</v>
      </c>
      <c r="F111" s="15">
        <f>21596.4+12474+11244.6+25579.4+20466.6</f>
        <v>91361</v>
      </c>
      <c r="G111" s="16">
        <f t="shared" si="34"/>
        <v>0.928607003100066</v>
      </c>
      <c r="H111" s="15">
        <f t="shared" si="35"/>
        <v>5719120.880000003</v>
      </c>
      <c r="I111" s="15">
        <f t="shared" si="36"/>
        <v>5516097.179999999</v>
      </c>
      <c r="J111" s="15" t="s">
        <v>14</v>
      </c>
      <c r="K111" s="15">
        <f t="shared" si="37"/>
        <v>5719120.880000003</v>
      </c>
      <c r="L111" s="15">
        <v>5495630.58</v>
      </c>
      <c r="M111">
        <f t="shared" si="33"/>
        <v>-20466.599999998696</v>
      </c>
    </row>
    <row r="112" spans="1:13" ht="15">
      <c r="A112" s="15">
        <v>2023</v>
      </c>
      <c r="B112" s="15" t="s">
        <v>21</v>
      </c>
      <c r="C112" s="15">
        <v>14</v>
      </c>
      <c r="D112" s="20">
        <v>7027.5</v>
      </c>
      <c r="E112" s="15">
        <f t="shared" si="32"/>
        <v>98385</v>
      </c>
      <c r="F112" s="15">
        <v>98001</v>
      </c>
      <c r="G112" s="16">
        <f t="shared" si="34"/>
        <v>0.9960969660009148</v>
      </c>
      <c r="H112" s="15">
        <f t="shared" si="35"/>
        <v>5817505.880000003</v>
      </c>
      <c r="I112" s="15">
        <f t="shared" si="36"/>
        <v>5614098.179999999</v>
      </c>
      <c r="J112" s="15" t="s">
        <v>14</v>
      </c>
      <c r="K112" s="15">
        <f>K111+E112</f>
        <v>5817505.880000003</v>
      </c>
      <c r="L112" s="15">
        <v>5582081.98</v>
      </c>
      <c r="M112">
        <f t="shared" si="33"/>
        <v>-32016.199999998324</v>
      </c>
    </row>
    <row r="113" spans="1:13" ht="15">
      <c r="A113" s="15">
        <v>2023</v>
      </c>
      <c r="B113" s="15" t="s">
        <v>22</v>
      </c>
      <c r="C113" s="15">
        <v>14</v>
      </c>
      <c r="D113" s="3">
        <v>7027.5</v>
      </c>
      <c r="E113" s="15">
        <f t="shared" si="32"/>
        <v>98385</v>
      </c>
      <c r="F113" s="15">
        <v>103723</v>
      </c>
      <c r="G113" s="16">
        <f t="shared" si="34"/>
        <v>1.0542562382477003</v>
      </c>
      <c r="H113" s="15">
        <f t="shared" si="35"/>
        <v>5915890.880000003</v>
      </c>
      <c r="I113" s="15">
        <f t="shared" si="36"/>
        <v>5717821.179999999</v>
      </c>
      <c r="J113" s="15" t="s">
        <v>14</v>
      </c>
      <c r="K113" s="15">
        <f>K112+E113</f>
        <v>5915890.880000003</v>
      </c>
      <c r="L113" s="15">
        <v>5710783.78</v>
      </c>
      <c r="M113">
        <f t="shared" si="33"/>
        <v>-7037.39999999851</v>
      </c>
    </row>
    <row r="114" spans="1:13" ht="15">
      <c r="A114" s="15">
        <v>2023</v>
      </c>
      <c r="B114" s="15" t="s">
        <v>23</v>
      </c>
      <c r="C114" s="15">
        <v>14</v>
      </c>
      <c r="D114" s="20">
        <v>7027.5</v>
      </c>
      <c r="E114" s="15">
        <f t="shared" si="32"/>
        <v>98385</v>
      </c>
      <c r="F114" s="15">
        <v>91089.6</v>
      </c>
      <c r="G114" s="16">
        <f t="shared" si="34"/>
        <v>0.9258484525080043</v>
      </c>
      <c r="H114" s="15">
        <f t="shared" si="35"/>
        <v>6014275.880000003</v>
      </c>
      <c r="I114" s="15">
        <f t="shared" si="36"/>
        <v>5808910.779999998</v>
      </c>
      <c r="J114" s="15" t="s">
        <v>14</v>
      </c>
      <c r="K114" s="15">
        <f>K113+E114</f>
        <v>6014275.880000003</v>
      </c>
      <c r="L114" s="15">
        <v>5791440.18</v>
      </c>
      <c r="M114">
        <f t="shared" si="33"/>
        <v>-17470.599999998696</v>
      </c>
    </row>
    <row r="115" spans="1:13" ht="15">
      <c r="A115" s="15">
        <v>2023</v>
      </c>
      <c r="B115" s="15" t="s">
        <v>24</v>
      </c>
      <c r="C115" s="15">
        <v>14</v>
      </c>
      <c r="D115" s="3">
        <v>7027.5</v>
      </c>
      <c r="E115" s="15">
        <f t="shared" si="32"/>
        <v>98385</v>
      </c>
      <c r="F115" s="15">
        <f>128945.6</f>
        <v>128945.6</v>
      </c>
      <c r="G115" s="16">
        <f t="shared" si="34"/>
        <v>1.3106225542511563</v>
      </c>
      <c r="H115" s="15">
        <f t="shared" si="35"/>
        <v>6112660.880000003</v>
      </c>
      <c r="I115" s="15">
        <f t="shared" si="36"/>
        <v>5937856.379999998</v>
      </c>
      <c r="J115" s="15" t="s">
        <v>14</v>
      </c>
      <c r="K115" s="15">
        <f>K114+E115</f>
        <v>6112660.880000003</v>
      </c>
      <c r="L115" s="15">
        <v>5929708.38</v>
      </c>
      <c r="M115">
        <f t="shared" si="33"/>
        <v>-8147.999999998137</v>
      </c>
    </row>
    <row r="116" spans="1:12" ht="15">
      <c r="A116" s="11"/>
      <c r="B116" s="11" t="s">
        <v>30</v>
      </c>
      <c r="C116" s="11"/>
      <c r="D116" s="11"/>
      <c r="E116" s="11">
        <f>SUM(E104:E115)</f>
        <v>1180620</v>
      </c>
      <c r="F116" s="11">
        <f>SUM(F104:F115)</f>
        <v>1148684.6</v>
      </c>
      <c r="G116" s="13">
        <f t="shared" si="34"/>
        <v>0.9729503142416697</v>
      </c>
      <c r="H116" s="11"/>
      <c r="I116" s="11"/>
      <c r="J116" s="11"/>
      <c r="K116" s="11"/>
      <c r="L116" s="11"/>
    </row>
    <row r="118" spans="1:12" ht="15">
      <c r="A118" s="22" t="s">
        <v>37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3" ht="15">
      <c r="A119" s="15">
        <v>2024</v>
      </c>
      <c r="B119" s="15" t="s">
        <v>26</v>
      </c>
      <c r="C119" s="15">
        <v>14</v>
      </c>
      <c r="D119" s="20">
        <v>7027.5</v>
      </c>
      <c r="E119" s="15">
        <f>C119*D119</f>
        <v>98385</v>
      </c>
      <c r="F119" s="15">
        <f>68710.6</f>
        <v>68710.6</v>
      </c>
      <c r="G119" s="16">
        <f>F119/E119*100%</f>
        <v>0.6983849163998578</v>
      </c>
      <c r="H119" s="15">
        <f>H115+E119</f>
        <v>6211045.880000003</v>
      </c>
      <c r="I119" s="15">
        <f>I115+F119</f>
        <v>6006566.979999998</v>
      </c>
      <c r="J119" s="15" t="s">
        <v>14</v>
      </c>
      <c r="K119" s="15">
        <f>K115+E119</f>
        <v>6211045.880000003</v>
      </c>
      <c r="L119" s="15">
        <v>5989613.58</v>
      </c>
      <c r="M119">
        <f aca="true" t="shared" si="38" ref="M119:M130">L119-I119</f>
        <v>-16953.39999999758</v>
      </c>
    </row>
    <row r="120" spans="1:13" ht="15">
      <c r="A120" s="15">
        <v>2024</v>
      </c>
      <c r="B120" s="15" t="s">
        <v>13</v>
      </c>
      <c r="C120" s="15">
        <v>14</v>
      </c>
      <c r="D120" s="3">
        <v>7027.5</v>
      </c>
      <c r="E120" s="15">
        <f>C120*D120</f>
        <v>98385</v>
      </c>
      <c r="F120" s="15">
        <f>95520.8</f>
        <v>95520.8</v>
      </c>
      <c r="G120" s="16">
        <f aca="true" t="shared" si="39" ref="G120:G131">F120/E120*100%</f>
        <v>0.9708878385932815</v>
      </c>
      <c r="H120" s="15">
        <f aca="true" t="shared" si="40" ref="H120:H130">H119+E120</f>
        <v>6309430.880000003</v>
      </c>
      <c r="I120" s="15">
        <f aca="true" t="shared" si="41" ref="I120:I130">I119+F120</f>
        <v>6102087.7799999975</v>
      </c>
      <c r="J120" s="15" t="s">
        <v>14</v>
      </c>
      <c r="K120" s="15">
        <f>K119+E120</f>
        <v>6309430.880000003</v>
      </c>
      <c r="L120" s="15">
        <v>6082639.58</v>
      </c>
      <c r="M120">
        <f t="shared" si="38"/>
        <v>-19448.199999997392</v>
      </c>
    </row>
    <row r="121" spans="1:13" ht="15">
      <c r="A121" s="15">
        <v>2024</v>
      </c>
      <c r="B121" s="15" t="s">
        <v>15</v>
      </c>
      <c r="C121" s="15">
        <v>14</v>
      </c>
      <c r="D121" s="20">
        <v>7027.5</v>
      </c>
      <c r="E121" s="15">
        <f>C121*D121</f>
        <v>98385</v>
      </c>
      <c r="F121" s="15">
        <f>101397.8</f>
        <v>101397.8</v>
      </c>
      <c r="G121" s="16">
        <f t="shared" si="39"/>
        <v>1.0306225542511562</v>
      </c>
      <c r="H121" s="15">
        <f t="shared" si="40"/>
        <v>6407815.880000003</v>
      </c>
      <c r="I121" s="15">
        <f t="shared" si="41"/>
        <v>6203485.579999997</v>
      </c>
      <c r="J121" s="15" t="s">
        <v>14</v>
      </c>
      <c r="K121" s="15">
        <f aca="true" t="shared" si="42" ref="K121:K126">K120+E121</f>
        <v>6407815.880000003</v>
      </c>
      <c r="L121" s="15">
        <f>6204985.58-44204.2</f>
        <v>6160781.38</v>
      </c>
      <c r="M121">
        <f t="shared" si="38"/>
        <v>-42704.19999999739</v>
      </c>
    </row>
    <row r="122" spans="1:13" ht="15">
      <c r="A122" s="15">
        <v>2024</v>
      </c>
      <c r="B122" s="15" t="s">
        <v>16</v>
      </c>
      <c r="C122" s="15">
        <v>14</v>
      </c>
      <c r="D122" s="3">
        <v>7027.5</v>
      </c>
      <c r="E122" s="15">
        <f>C122*D122</f>
        <v>98385</v>
      </c>
      <c r="F122" s="19"/>
      <c r="G122" s="16">
        <f t="shared" si="39"/>
        <v>0</v>
      </c>
      <c r="H122" s="15">
        <f t="shared" si="40"/>
        <v>6506200.880000003</v>
      </c>
      <c r="I122" s="15">
        <f t="shared" si="41"/>
        <v>6203485.579999997</v>
      </c>
      <c r="J122" s="15" t="s">
        <v>14</v>
      </c>
      <c r="K122" s="15">
        <f t="shared" si="42"/>
        <v>6506200.880000003</v>
      </c>
      <c r="L122" s="15"/>
      <c r="M122">
        <f t="shared" si="38"/>
        <v>-6203485.579999997</v>
      </c>
    </row>
    <row r="123" spans="1:13" ht="15">
      <c r="A123" s="15">
        <v>2024</v>
      </c>
      <c r="B123" s="15" t="s">
        <v>17</v>
      </c>
      <c r="C123" s="15">
        <v>14</v>
      </c>
      <c r="D123" s="20">
        <v>7027.5</v>
      </c>
      <c r="E123" s="15">
        <f aca="true" t="shared" si="43" ref="E123:E130">C123*D123</f>
        <v>98385</v>
      </c>
      <c r="F123" s="15"/>
      <c r="G123" s="16">
        <f t="shared" si="39"/>
        <v>0</v>
      </c>
      <c r="H123" s="15">
        <f t="shared" si="40"/>
        <v>6604585.880000003</v>
      </c>
      <c r="I123" s="15">
        <f t="shared" si="41"/>
        <v>6203485.579999997</v>
      </c>
      <c r="J123" s="15" t="s">
        <v>14</v>
      </c>
      <c r="K123" s="15">
        <f t="shared" si="42"/>
        <v>6604585.880000003</v>
      </c>
      <c r="L123" s="15"/>
      <c r="M123">
        <f t="shared" si="38"/>
        <v>-6203485.579999997</v>
      </c>
    </row>
    <row r="124" spans="1:13" ht="15">
      <c r="A124" s="15">
        <v>2024</v>
      </c>
      <c r="B124" s="15" t="s">
        <v>18</v>
      </c>
      <c r="C124" s="15">
        <v>14</v>
      </c>
      <c r="D124" s="3">
        <v>7027.5</v>
      </c>
      <c r="E124" s="15">
        <f t="shared" si="43"/>
        <v>98385</v>
      </c>
      <c r="F124" s="15"/>
      <c r="G124" s="16">
        <f t="shared" si="39"/>
        <v>0</v>
      </c>
      <c r="H124" s="15">
        <f t="shared" si="40"/>
        <v>6702970.880000003</v>
      </c>
      <c r="I124" s="15">
        <f t="shared" si="41"/>
        <v>6203485.579999997</v>
      </c>
      <c r="J124" s="15" t="s">
        <v>14</v>
      </c>
      <c r="K124" s="15">
        <f t="shared" si="42"/>
        <v>6702970.880000003</v>
      </c>
      <c r="L124" s="15"/>
      <c r="M124">
        <f t="shared" si="38"/>
        <v>-6203485.579999997</v>
      </c>
    </row>
    <row r="125" spans="1:13" ht="15">
      <c r="A125" s="15">
        <v>2024</v>
      </c>
      <c r="B125" s="15" t="s">
        <v>19</v>
      </c>
      <c r="C125" s="15">
        <v>14</v>
      </c>
      <c r="D125" s="20">
        <v>7027.5</v>
      </c>
      <c r="E125" s="15">
        <f t="shared" si="43"/>
        <v>98385</v>
      </c>
      <c r="F125" s="15"/>
      <c r="G125" s="16">
        <f t="shared" si="39"/>
        <v>0</v>
      </c>
      <c r="H125" s="15">
        <f t="shared" si="40"/>
        <v>6801355.880000003</v>
      </c>
      <c r="I125" s="15">
        <f t="shared" si="41"/>
        <v>6203485.579999997</v>
      </c>
      <c r="J125" s="15" t="s">
        <v>14</v>
      </c>
      <c r="K125" s="15">
        <f t="shared" si="42"/>
        <v>6801355.880000003</v>
      </c>
      <c r="L125" s="15"/>
      <c r="M125">
        <f t="shared" si="38"/>
        <v>-6203485.579999997</v>
      </c>
    </row>
    <row r="126" spans="1:13" ht="15">
      <c r="A126" s="15">
        <v>2024</v>
      </c>
      <c r="B126" s="15" t="s">
        <v>20</v>
      </c>
      <c r="C126" s="15">
        <v>14</v>
      </c>
      <c r="D126" s="3">
        <v>7027.5</v>
      </c>
      <c r="E126" s="15">
        <f t="shared" si="43"/>
        <v>98385</v>
      </c>
      <c r="F126" s="15"/>
      <c r="G126" s="16">
        <f t="shared" si="39"/>
        <v>0</v>
      </c>
      <c r="H126" s="15">
        <f t="shared" si="40"/>
        <v>6899740.880000003</v>
      </c>
      <c r="I126" s="15">
        <f t="shared" si="41"/>
        <v>6203485.579999997</v>
      </c>
      <c r="J126" s="15" t="s">
        <v>14</v>
      </c>
      <c r="K126" s="15">
        <f t="shared" si="42"/>
        <v>6899740.880000003</v>
      </c>
      <c r="L126" s="15"/>
      <c r="M126">
        <f t="shared" si="38"/>
        <v>-6203485.579999997</v>
      </c>
    </row>
    <row r="127" spans="1:13" ht="15">
      <c r="A127" s="15">
        <v>2024</v>
      </c>
      <c r="B127" s="15" t="s">
        <v>21</v>
      </c>
      <c r="C127" s="15">
        <v>14</v>
      </c>
      <c r="D127" s="20">
        <v>7027.5</v>
      </c>
      <c r="E127" s="15">
        <f t="shared" si="43"/>
        <v>98385</v>
      </c>
      <c r="F127" s="15"/>
      <c r="G127" s="16">
        <f t="shared" si="39"/>
        <v>0</v>
      </c>
      <c r="H127" s="15">
        <f t="shared" si="40"/>
        <v>6998125.880000003</v>
      </c>
      <c r="I127" s="15">
        <f t="shared" si="41"/>
        <v>6203485.579999997</v>
      </c>
      <c r="J127" s="15" t="s">
        <v>14</v>
      </c>
      <c r="K127" s="15">
        <f>K126+E127</f>
        <v>6998125.880000003</v>
      </c>
      <c r="L127" s="15"/>
      <c r="M127">
        <f t="shared" si="38"/>
        <v>-6203485.579999997</v>
      </c>
    </row>
    <row r="128" spans="1:13" ht="15">
      <c r="A128" s="15">
        <v>2024</v>
      </c>
      <c r="B128" s="15" t="s">
        <v>22</v>
      </c>
      <c r="C128" s="15">
        <v>14</v>
      </c>
      <c r="D128" s="3">
        <v>7027.5</v>
      </c>
      <c r="E128" s="15">
        <f t="shared" si="43"/>
        <v>98385</v>
      </c>
      <c r="F128" s="15"/>
      <c r="G128" s="16">
        <f t="shared" si="39"/>
        <v>0</v>
      </c>
      <c r="H128" s="15">
        <f t="shared" si="40"/>
        <v>7096510.880000003</v>
      </c>
      <c r="I128" s="15">
        <f t="shared" si="41"/>
        <v>6203485.579999997</v>
      </c>
      <c r="J128" s="15" t="s">
        <v>14</v>
      </c>
      <c r="K128" s="15">
        <f>K127+E128</f>
        <v>7096510.880000003</v>
      </c>
      <c r="L128" s="15"/>
      <c r="M128">
        <f t="shared" si="38"/>
        <v>-6203485.579999997</v>
      </c>
    </row>
    <row r="129" spans="1:13" ht="15">
      <c r="A129" s="15">
        <v>2024</v>
      </c>
      <c r="B129" s="15" t="s">
        <v>23</v>
      </c>
      <c r="C129" s="15">
        <v>14</v>
      </c>
      <c r="D129" s="20">
        <v>7027.5</v>
      </c>
      <c r="E129" s="15">
        <f t="shared" si="43"/>
        <v>98385</v>
      </c>
      <c r="F129" s="15"/>
      <c r="G129" s="16">
        <f t="shared" si="39"/>
        <v>0</v>
      </c>
      <c r="H129" s="15">
        <f t="shared" si="40"/>
        <v>7194895.880000003</v>
      </c>
      <c r="I129" s="15">
        <f t="shared" si="41"/>
        <v>6203485.579999997</v>
      </c>
      <c r="J129" s="15" t="s">
        <v>14</v>
      </c>
      <c r="K129" s="15">
        <f>K128+E129</f>
        <v>7194895.880000003</v>
      </c>
      <c r="L129" s="15"/>
      <c r="M129">
        <f t="shared" si="38"/>
        <v>-6203485.579999997</v>
      </c>
    </row>
    <row r="130" spans="1:13" ht="15">
      <c r="A130" s="15">
        <v>2024</v>
      </c>
      <c r="B130" s="15" t="s">
        <v>24</v>
      </c>
      <c r="C130" s="15">
        <v>14</v>
      </c>
      <c r="D130" s="3">
        <v>7027.5</v>
      </c>
      <c r="E130" s="15">
        <f t="shared" si="43"/>
        <v>98385</v>
      </c>
      <c r="F130" s="15"/>
      <c r="G130" s="16">
        <f t="shared" si="39"/>
        <v>0</v>
      </c>
      <c r="H130" s="15">
        <f t="shared" si="40"/>
        <v>7293280.880000003</v>
      </c>
      <c r="I130" s="15">
        <f t="shared" si="41"/>
        <v>6203485.579999997</v>
      </c>
      <c r="J130" s="15" t="s">
        <v>14</v>
      </c>
      <c r="K130" s="15">
        <f>K129+E130</f>
        <v>7293280.880000003</v>
      </c>
      <c r="L130" s="15"/>
      <c r="M130">
        <f t="shared" si="38"/>
        <v>-6203485.579999997</v>
      </c>
    </row>
    <row r="131" spans="1:12" ht="15">
      <c r="A131" s="11"/>
      <c r="B131" s="11" t="s">
        <v>30</v>
      </c>
      <c r="C131" s="11"/>
      <c r="D131" s="11"/>
      <c r="E131" s="11">
        <f>SUM(E119:E130)</f>
        <v>1180620</v>
      </c>
      <c r="F131" s="11">
        <f>SUM(F119:F130)</f>
        <v>265629.2</v>
      </c>
      <c r="G131" s="13">
        <f t="shared" si="39"/>
        <v>0.22499127577035796</v>
      </c>
      <c r="H131" s="11"/>
      <c r="I131" s="11"/>
      <c r="J131" s="11"/>
      <c r="K131" s="11"/>
      <c r="L131" s="11"/>
    </row>
  </sheetData>
  <sheetProtection/>
  <mergeCells count="10">
    <mergeCell ref="A118:L118"/>
    <mergeCell ref="A103:L103"/>
    <mergeCell ref="A88:L88"/>
    <mergeCell ref="A73:L73"/>
    <mergeCell ref="A58:L58"/>
    <mergeCell ref="A1:F1"/>
    <mergeCell ref="A13:L13"/>
    <mergeCell ref="A28:L28"/>
    <mergeCell ref="A4:L4"/>
    <mergeCell ref="A43:L43"/>
  </mergeCells>
  <printOptions/>
  <pageMargins left="0.5905511811023623" right="0.15748031496062992" top="0.31496062992125984" bottom="0.35433070866141736" header="0.31496062992125984" footer="0.31496062992125984"/>
  <pageSetup fitToHeight="5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undefined</dc:creator>
  <cp:keywords/>
  <dc:description/>
  <cp:lastModifiedBy>Евгений Боровиков</cp:lastModifiedBy>
  <cp:lastPrinted>2021-11-01T08:03:41Z</cp:lastPrinted>
  <dcterms:created xsi:type="dcterms:W3CDTF">2018-07-27T10:05:09Z</dcterms:created>
  <dcterms:modified xsi:type="dcterms:W3CDTF">2024-04-08T08:49:39Z</dcterms:modified>
  <cp:category/>
  <cp:version/>
  <cp:contentType/>
  <cp:contentStatus/>
</cp:coreProperties>
</file>